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RECOVERY\INFORMES AUDITORIA VIGENCIA 2024\"/>
    </mc:Choice>
  </mc:AlternateContent>
  <bookViews>
    <workbookView xWindow="0" yWindow="0" windowWidth="28800" windowHeight="11700" firstSheet="1" activeTab="3"/>
  </bookViews>
  <sheets>
    <sheet name="Instructivo" sheetId="2" r:id="rId1"/>
    <sheet name="Estado SCI" sheetId="1" r:id="rId2"/>
    <sheet name="Análisis Resultados" sheetId="3" r:id="rId3"/>
    <sheet name="Conclusión" sheetId="5" r:id="rId4"/>
    <sheet name="Hoja1" sheetId="6" state="hidden" r:id="rId5"/>
  </sheets>
  <externalReferences>
    <externalReference r:id="rId6"/>
  </externalReferences>
  <definedNames>
    <definedName name="_xlnm._FilterDatabase" localSheetId="4" hidden="1">Hoja1!$A$1:$K$45</definedName>
    <definedName name="_xlnm.Print_Area" localSheetId="3">Conclusión!$B$1:$N$34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9" i="1" l="1"/>
  <c r="J58" i="1"/>
  <c r="J57" i="1"/>
  <c r="J56" i="1"/>
  <c r="J55" i="1"/>
  <c r="J54" i="1"/>
  <c r="J53" i="1"/>
  <c r="J52" i="1"/>
  <c r="J51" i="1"/>
  <c r="J5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A59" i="1" l="1"/>
  <c r="A58" i="1"/>
  <c r="A57" i="1"/>
  <c r="A56" i="1"/>
  <c r="A55" i="1"/>
  <c r="A54" i="1"/>
  <c r="A53" i="1"/>
  <c r="A52" i="1"/>
  <c r="A51" i="1"/>
  <c r="A50" i="1"/>
  <c r="A49" i="1"/>
  <c r="A48" i="1"/>
  <c r="A47" i="1"/>
  <c r="A46" i="1"/>
  <c r="A45" i="1"/>
  <c r="A44" i="1"/>
  <c r="A43" i="1"/>
  <c r="A42" i="1"/>
  <c r="A41" i="1"/>
  <c r="A40" i="1"/>
  <c r="A39" i="1"/>
  <c r="J37" i="1"/>
  <c r="L37" i="1" s="1"/>
  <c r="J36" i="1"/>
  <c r="L36" i="1" s="1"/>
  <c r="J35" i="1"/>
  <c r="L35" i="1" s="1"/>
  <c r="J34" i="1"/>
  <c r="L34" i="1" s="1"/>
  <c r="J33" i="1"/>
  <c r="L33" i="1" s="1"/>
  <c r="J32" i="1"/>
  <c r="L32" i="1" s="1"/>
  <c r="A38" i="1"/>
  <c r="A37" i="1"/>
  <c r="A36" i="1"/>
  <c r="A35" i="1"/>
  <c r="A34" i="1"/>
  <c r="A33" i="1"/>
  <c r="A32" i="1"/>
  <c r="L59" i="1"/>
  <c r="L58" i="1"/>
  <c r="L57" i="1"/>
  <c r="L56" i="1"/>
  <c r="L55" i="1"/>
  <c r="L54" i="1"/>
  <c r="L53" i="1"/>
  <c r="L52" i="1"/>
  <c r="L51" i="1"/>
  <c r="L50" i="1"/>
  <c r="J49" i="1"/>
  <c r="L49" i="1" s="1"/>
  <c r="J48" i="1"/>
  <c r="L48" i="1" s="1"/>
  <c r="J47" i="1"/>
  <c r="L47" i="1" s="1"/>
  <c r="J46" i="1"/>
  <c r="L46" i="1" s="1"/>
  <c r="J45" i="1"/>
  <c r="L45" i="1" s="1"/>
  <c r="J44" i="1"/>
  <c r="L44" i="1" s="1"/>
  <c r="J43" i="1"/>
  <c r="L43" i="1" s="1"/>
  <c r="J42" i="1"/>
  <c r="L42" i="1" s="1"/>
  <c r="J41" i="1"/>
  <c r="L41" i="1" s="1"/>
  <c r="J40" i="1"/>
  <c r="L40" i="1" s="1"/>
  <c r="J39" i="1"/>
  <c r="L39" i="1" s="1"/>
  <c r="J38" i="1"/>
  <c r="L38" i="1" s="1"/>
  <c r="J31" i="1"/>
  <c r="L31" i="1" s="1"/>
  <c r="J30" i="1"/>
  <c r="L30" i="1" s="1"/>
  <c r="J29" i="1"/>
  <c r="L29" i="1" s="1"/>
  <c r="J28" i="1"/>
  <c r="L28" i="1" s="1"/>
  <c r="J27" i="1"/>
  <c r="L27" i="1" s="1"/>
  <c r="J26" i="1"/>
  <c r="L26" i="1" s="1"/>
  <c r="J25" i="1"/>
  <c r="L25" i="1" s="1"/>
  <c r="J24" i="1"/>
  <c r="L24" i="1" s="1"/>
  <c r="J23" i="1"/>
  <c r="L23" i="1" s="1"/>
  <c r="J22" i="1"/>
  <c r="L22" i="1" s="1"/>
  <c r="J21" i="1"/>
  <c r="L21" i="1" s="1"/>
  <c r="J20" i="1"/>
  <c r="L20" i="1" s="1"/>
  <c r="J19" i="1"/>
  <c r="L19" i="1" s="1"/>
  <c r="J18" i="1"/>
  <c r="L18" i="1" s="1"/>
  <c r="J17" i="1"/>
  <c r="L17" i="1" s="1"/>
  <c r="J16" i="1"/>
  <c r="L16" i="1" s="1"/>
  <c r="A31" i="1" l="1"/>
  <c r="A30" i="1"/>
  <c r="A29" i="1"/>
  <c r="A28" i="1"/>
  <c r="A27" i="1"/>
  <c r="A26" i="1"/>
  <c r="A25" i="1"/>
  <c r="A24" i="1"/>
  <c r="A23" i="1"/>
  <c r="A22" i="1"/>
  <c r="A21" i="1"/>
  <c r="A20" i="1"/>
  <c r="A19" i="1"/>
  <c r="A18" i="1"/>
  <c r="A17" i="1"/>
  <c r="A16" i="1"/>
  <c r="I3" i="6" l="1"/>
  <c r="J3" i="6" s="1"/>
  <c r="I11" i="6"/>
  <c r="J11" i="6" s="1"/>
  <c r="I19" i="6"/>
  <c r="J19" i="6" s="1"/>
  <c r="I25" i="6"/>
  <c r="J25" i="6" s="1"/>
  <c r="I33" i="6"/>
  <c r="J33" i="6" s="1"/>
  <c r="I41" i="6"/>
  <c r="J41" i="6" s="1"/>
  <c r="B29" i="6"/>
  <c r="I4" i="6"/>
  <c r="J4" i="6" s="1"/>
  <c r="I12" i="6"/>
  <c r="J12" i="6" s="1"/>
  <c r="I20" i="6"/>
  <c r="J20" i="6" s="1"/>
  <c r="I26" i="6"/>
  <c r="J26" i="6" s="1"/>
  <c r="I34" i="6"/>
  <c r="J34" i="6" s="1"/>
  <c r="I42" i="6"/>
  <c r="J42" i="6" s="1"/>
  <c r="B36" i="6"/>
  <c r="I5" i="6"/>
  <c r="J5" i="6" s="1"/>
  <c r="I13" i="6"/>
  <c r="J13" i="6" s="1"/>
  <c r="I27" i="6"/>
  <c r="J27" i="6" s="1"/>
  <c r="I35" i="6"/>
  <c r="J35" i="6" s="1"/>
  <c r="I43" i="6"/>
  <c r="J43" i="6" s="1"/>
  <c r="B2" i="6"/>
  <c r="I6" i="6"/>
  <c r="J6" i="6" s="1"/>
  <c r="I14" i="6"/>
  <c r="J14" i="6" s="1"/>
  <c r="I21" i="6"/>
  <c r="J21" i="6" s="1"/>
  <c r="I28" i="6"/>
  <c r="J28" i="6" s="1"/>
  <c r="I36" i="6"/>
  <c r="J36" i="6" s="1"/>
  <c r="I44" i="6"/>
  <c r="J44" i="6" s="1"/>
  <c r="I7" i="6"/>
  <c r="J7" i="6" s="1"/>
  <c r="I15" i="6"/>
  <c r="J15" i="6" s="1"/>
  <c r="I22" i="6"/>
  <c r="J22" i="6" s="1"/>
  <c r="I29" i="6"/>
  <c r="J29" i="6" s="1"/>
  <c r="I37" i="6"/>
  <c r="J37" i="6" s="1"/>
  <c r="I45" i="6"/>
  <c r="J45" i="6" s="1"/>
  <c r="I8" i="6"/>
  <c r="J8" i="6" s="1"/>
  <c r="I16" i="6"/>
  <c r="J16" i="6" s="1"/>
  <c r="I23" i="6"/>
  <c r="J23" i="6" s="1"/>
  <c r="I30" i="6"/>
  <c r="J30" i="6" s="1"/>
  <c r="I38" i="6"/>
  <c r="J38" i="6" s="1"/>
  <c r="I2" i="6"/>
  <c r="J2" i="6" s="1"/>
  <c r="I9" i="6"/>
  <c r="J9" i="6" s="1"/>
  <c r="I17" i="6"/>
  <c r="J17" i="6" s="1"/>
  <c r="I31" i="6"/>
  <c r="J31" i="6" s="1"/>
  <c r="I39" i="6"/>
  <c r="J39" i="6" s="1"/>
  <c r="B14" i="6"/>
  <c r="I10" i="6"/>
  <c r="J10" i="6" s="1"/>
  <c r="I18" i="6"/>
  <c r="J18" i="6" s="1"/>
  <c r="I24" i="6"/>
  <c r="J24" i="6" s="1"/>
  <c r="I32" i="6"/>
  <c r="J32" i="6" s="1"/>
  <c r="I40" i="6"/>
  <c r="J40" i="6" s="1"/>
  <c r="B24" i="6"/>
  <c r="G41" i="6"/>
  <c r="G40" i="6"/>
  <c r="G32" i="6"/>
  <c r="G24" i="6"/>
  <c r="G18" i="6"/>
  <c r="G10" i="6"/>
  <c r="G2" i="6"/>
  <c r="F10" i="6"/>
  <c r="F18" i="6"/>
  <c r="F24" i="6"/>
  <c r="F32" i="6"/>
  <c r="F40" i="6"/>
  <c r="G29" i="6"/>
  <c r="G7" i="6"/>
  <c r="F27" i="6"/>
  <c r="G28" i="6"/>
  <c r="G14" i="6"/>
  <c r="F14" i="6"/>
  <c r="F36" i="6"/>
  <c r="G27" i="6"/>
  <c r="G5" i="6"/>
  <c r="F22" i="6"/>
  <c r="F45" i="6"/>
  <c r="G34" i="6"/>
  <c r="G20" i="6"/>
  <c r="F8" i="6"/>
  <c r="F30" i="6"/>
  <c r="G33" i="6"/>
  <c r="G11" i="6"/>
  <c r="F17" i="6"/>
  <c r="G39" i="6"/>
  <c r="G31" i="6"/>
  <c r="G17" i="6"/>
  <c r="G9" i="6"/>
  <c r="F3" i="6"/>
  <c r="F11" i="6"/>
  <c r="F19" i="6"/>
  <c r="F25" i="6"/>
  <c r="F33" i="6"/>
  <c r="F41" i="6"/>
  <c r="G37" i="6"/>
  <c r="G15" i="6"/>
  <c r="F5" i="6"/>
  <c r="F43" i="6"/>
  <c r="G44" i="6"/>
  <c r="G21" i="6"/>
  <c r="F6" i="6"/>
  <c r="F28" i="6"/>
  <c r="G35" i="6"/>
  <c r="G13" i="6"/>
  <c r="F7" i="6"/>
  <c r="F29" i="6"/>
  <c r="G26" i="6"/>
  <c r="G4" i="6"/>
  <c r="F23" i="6"/>
  <c r="F2" i="6"/>
  <c r="G19" i="6"/>
  <c r="F9" i="6"/>
  <c r="F39" i="6"/>
  <c r="G38" i="6"/>
  <c r="G30" i="6"/>
  <c r="G23" i="6"/>
  <c r="G16" i="6"/>
  <c r="G8" i="6"/>
  <c r="F4" i="6"/>
  <c r="F12" i="6"/>
  <c r="F20" i="6"/>
  <c r="F26" i="6"/>
  <c r="F34" i="6"/>
  <c r="F42" i="6"/>
  <c r="G45" i="6"/>
  <c r="G22" i="6"/>
  <c r="F13" i="6"/>
  <c r="F35" i="6"/>
  <c r="G36" i="6"/>
  <c r="G6" i="6"/>
  <c r="F21" i="6"/>
  <c r="F44" i="6"/>
  <c r="G43" i="6"/>
  <c r="F15" i="6"/>
  <c r="F37" i="6"/>
  <c r="G42" i="6"/>
  <c r="G12" i="6"/>
  <c r="F16" i="6"/>
  <c r="F38" i="6"/>
  <c r="G25" i="6"/>
  <c r="G3" i="6"/>
  <c r="F31" i="6"/>
  <c r="K24" i="6" l="1"/>
  <c r="G30" i="5" s="1"/>
  <c r="K29" i="6"/>
  <c r="K36" i="6"/>
  <c r="K14" i="6"/>
  <c r="K9" i="6"/>
  <c r="K6" i="6"/>
  <c r="K35" i="6"/>
  <c r="K19" i="6"/>
  <c r="K23" i="6"/>
  <c r="K40" i="6"/>
  <c r="K10" i="6"/>
  <c r="K7" i="6"/>
  <c r="K44" i="6"/>
  <c r="K20" i="6"/>
  <c r="K38" i="6"/>
  <c r="K3" i="6"/>
  <c r="K8" i="6"/>
  <c r="K30" i="6"/>
  <c r="K37" i="6"/>
  <c r="K25" i="6"/>
  <c r="K45" i="6"/>
  <c r="K11" i="6"/>
  <c r="K4" i="6"/>
  <c r="K12" i="6"/>
  <c r="K32" i="6"/>
  <c r="K41" i="6"/>
  <c r="K17" i="6"/>
  <c r="K15" i="6"/>
  <c r="K28" i="6"/>
  <c r="K39" i="6"/>
  <c r="K27" i="6"/>
  <c r="K5" i="6"/>
  <c r="K33" i="6"/>
  <c r="K42" i="6"/>
  <c r="K22" i="6"/>
  <c r="K2" i="6"/>
  <c r="K31" i="6"/>
  <c r="K13" i="6"/>
  <c r="K34" i="6"/>
  <c r="K43" i="6"/>
  <c r="K18" i="6"/>
  <c r="K16" i="6"/>
  <c r="K26" i="6"/>
  <c r="K21" i="6"/>
  <c r="H37" i="6"/>
  <c r="H17" i="6"/>
  <c r="H30" i="6"/>
  <c r="H2" i="6"/>
  <c r="H10" i="6"/>
  <c r="H44" i="6"/>
  <c r="H6" i="6"/>
  <c r="H7" i="6"/>
  <c r="H42" i="6"/>
  <c r="H36" i="6"/>
  <c r="H11" i="6"/>
  <c r="H5" i="6"/>
  <c r="H29" i="6"/>
  <c r="H18" i="6"/>
  <c r="H12" i="6"/>
  <c r="H38" i="6"/>
  <c r="H13" i="6"/>
  <c r="H33" i="6"/>
  <c r="H27" i="6"/>
  <c r="H24" i="6"/>
  <c r="H3" i="6"/>
  <c r="H8" i="6"/>
  <c r="H26" i="6"/>
  <c r="H39" i="6"/>
  <c r="H19" i="6"/>
  <c r="H35" i="6"/>
  <c r="H15" i="6"/>
  <c r="H9" i="6"/>
  <c r="H32" i="6"/>
  <c r="H40" i="6"/>
  <c r="H22" i="6"/>
  <c r="H25" i="6"/>
  <c r="H45" i="6"/>
  <c r="H20" i="6"/>
  <c r="H14" i="6"/>
  <c r="H43" i="6"/>
  <c r="H16" i="6"/>
  <c r="H23" i="6"/>
  <c r="H4" i="6"/>
  <c r="H21" i="6"/>
  <c r="H31" i="6"/>
  <c r="H34" i="6"/>
  <c r="H28" i="6"/>
  <c r="H41" i="6"/>
  <c r="E30" i="5" l="1"/>
  <c r="E26" i="5"/>
  <c r="G26" i="5"/>
  <c r="E28" i="5"/>
  <c r="G28" i="5"/>
  <c r="G34" i="5"/>
  <c r="E34" i="5"/>
  <c r="E32" i="5"/>
  <c r="G32" i="5"/>
  <c r="F56" i="3"/>
  <c r="F48" i="3"/>
  <c r="F40" i="3"/>
  <c r="F32" i="3"/>
  <c r="F24" i="3"/>
  <c r="F55" i="3"/>
  <c r="F47" i="3"/>
  <c r="F39" i="3"/>
  <c r="F31" i="3"/>
  <c r="F23" i="3"/>
  <c r="F34" i="3"/>
  <c r="F62" i="3"/>
  <c r="F54" i="3"/>
  <c r="F46" i="3"/>
  <c r="F38" i="3"/>
  <c r="F30" i="3"/>
  <c r="F22" i="3"/>
  <c r="F53" i="3"/>
  <c r="F45" i="3"/>
  <c r="F37" i="3"/>
  <c r="F29" i="3"/>
  <c r="F57" i="3"/>
  <c r="F33" i="3"/>
  <c r="F61" i="3"/>
  <c r="F21" i="3"/>
  <c r="F58" i="3"/>
  <c r="F50" i="3"/>
  <c r="F26" i="3"/>
  <c r="F60" i="3"/>
  <c r="F52" i="3"/>
  <c r="F44" i="3"/>
  <c r="F36" i="3"/>
  <c r="F28" i="3"/>
  <c r="F20" i="3"/>
  <c r="F25" i="3"/>
  <c r="F59" i="3"/>
  <c r="F51" i="3"/>
  <c r="F43" i="3"/>
  <c r="F35" i="3"/>
  <c r="F27" i="3"/>
  <c r="F19" i="3"/>
  <c r="F42" i="3"/>
  <c r="F49" i="3"/>
  <c r="F41" i="3"/>
  <c r="E56" i="3"/>
  <c r="E40" i="3"/>
  <c r="E55" i="3"/>
  <c r="E47" i="3"/>
  <c r="E39" i="3"/>
  <c r="E31" i="3"/>
  <c r="E23" i="3"/>
  <c r="E51" i="3"/>
  <c r="E27" i="3"/>
  <c r="E58" i="3"/>
  <c r="E26" i="3"/>
  <c r="E57" i="3"/>
  <c r="E25" i="3"/>
  <c r="E24" i="3"/>
  <c r="E62" i="3"/>
  <c r="E54" i="3"/>
  <c r="E46" i="3"/>
  <c r="E38" i="3"/>
  <c r="E30" i="3"/>
  <c r="E22" i="3"/>
  <c r="E60" i="3"/>
  <c r="E20" i="3"/>
  <c r="E43" i="3"/>
  <c r="E50" i="3"/>
  <c r="E34" i="3"/>
  <c r="E49" i="3"/>
  <c r="E48" i="3"/>
  <c r="E61" i="3"/>
  <c r="E53" i="3"/>
  <c r="E45" i="3"/>
  <c r="E37" i="3"/>
  <c r="E29" i="3"/>
  <c r="E21" i="3"/>
  <c r="E52" i="3"/>
  <c r="E44" i="3"/>
  <c r="E36" i="3"/>
  <c r="E28" i="3"/>
  <c r="E59" i="3"/>
  <c r="E35" i="3"/>
  <c r="E19" i="3"/>
  <c r="E42" i="3"/>
  <c r="E41" i="3"/>
  <c r="E33" i="3"/>
  <c r="E32" i="3"/>
  <c r="I61" i="3" l="1"/>
  <c r="G61" i="3"/>
  <c r="I59" i="3"/>
  <c r="G59" i="3"/>
  <c r="I45" i="3"/>
  <c r="G45" i="3"/>
  <c r="G20" i="3"/>
  <c r="I20" i="3"/>
  <c r="G24" i="3"/>
  <c r="I24" i="3"/>
  <c r="I31" i="3"/>
  <c r="G31" i="3"/>
  <c r="I32" i="3"/>
  <c r="G32" i="3"/>
  <c r="G28" i="3"/>
  <c r="I28" i="3"/>
  <c r="I53" i="3"/>
  <c r="G53" i="3"/>
  <c r="I60" i="3"/>
  <c r="G60" i="3"/>
  <c r="G25" i="3"/>
  <c r="I25" i="3"/>
  <c r="I39" i="3"/>
  <c r="G39" i="3"/>
  <c r="G22" i="3"/>
  <c r="I22" i="3"/>
  <c r="I57" i="3"/>
  <c r="G57" i="3"/>
  <c r="I47" i="3"/>
  <c r="G47" i="3"/>
  <c r="I33" i="3"/>
  <c r="G33" i="3"/>
  <c r="I44" i="3"/>
  <c r="G44" i="3"/>
  <c r="I48" i="3"/>
  <c r="G48" i="3"/>
  <c r="I30" i="3"/>
  <c r="G30" i="3"/>
  <c r="G26" i="3"/>
  <c r="I26" i="3"/>
  <c r="I55" i="3"/>
  <c r="G55" i="3"/>
  <c r="I41" i="3"/>
  <c r="G41" i="3"/>
  <c r="I52" i="3"/>
  <c r="G52" i="3"/>
  <c r="I49" i="3"/>
  <c r="G49" i="3"/>
  <c r="I38" i="3"/>
  <c r="G38" i="3"/>
  <c r="I58" i="3"/>
  <c r="G58" i="3"/>
  <c r="I42" i="3"/>
  <c r="G42" i="3"/>
  <c r="G21" i="3"/>
  <c r="I21" i="3"/>
  <c r="I34" i="3"/>
  <c r="G34" i="3"/>
  <c r="I46" i="3"/>
  <c r="G46" i="3"/>
  <c r="I27" i="3"/>
  <c r="G27" i="3"/>
  <c r="I40" i="3"/>
  <c r="G40" i="3"/>
  <c r="I36" i="3"/>
  <c r="G36" i="3"/>
  <c r="I19" i="3"/>
  <c r="G19" i="3"/>
  <c r="G29" i="3"/>
  <c r="I29" i="3"/>
  <c r="I50" i="3"/>
  <c r="G50" i="3"/>
  <c r="I54" i="3"/>
  <c r="G54" i="3"/>
  <c r="I51" i="3"/>
  <c r="G51" i="3"/>
  <c r="I56" i="3"/>
  <c r="G56" i="3"/>
  <c r="I35" i="3"/>
  <c r="G35" i="3"/>
  <c r="I37" i="3"/>
  <c r="G37" i="3"/>
  <c r="I43" i="3"/>
  <c r="G43" i="3"/>
  <c r="I62" i="3"/>
  <c r="G62" i="3"/>
  <c r="G23" i="3"/>
  <c r="I23" i="3"/>
  <c r="J41" i="3" l="1"/>
  <c r="J53" i="3"/>
  <c r="J46" i="3"/>
  <c r="J31" i="3"/>
  <c r="J19" i="3"/>
  <c r="M8" i="5" l="1"/>
</calcChain>
</file>

<file path=xl/sharedStrings.xml><?xml version="1.0" encoding="utf-8"?>
<sst xmlns="http://schemas.openxmlformats.org/spreadsheetml/2006/main" count="514" uniqueCount="246">
  <si>
    <t>EVALUACIÓN INDEPENDIENTE SISTEMA DE CONTROL INTERNO
Entidades Pequeñas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</si>
  <si>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 La estructura propuesta es diferencial para aquellas entidades de municipios de 6a categoría (Personerías y Concejos Municipales) que son entidades con 1 y hasta 5 servidores en sus plantas de personal. Estas entidades deben tener en cuenta que de acuerdo con el parágrafo del artículo ARTÍCULO 2.2.22.2.1. del Decreto 1499 de 2017, las políticas de gestión y desempeño contenidas en el Modelo Integrado de Planeación y Gestión MIPG, deben ser aplicadas acorde con las normas que las regulan, por lo que deben analizar dichas políticas e implementarlas en armonía con el MECI.</t>
  </si>
  <si>
    <t>Orientaciones Generales</t>
  </si>
  <si>
    <r>
      <t xml:space="preserve">El archivo contiene las siguientes hojas:
 -  1 </t>
    </r>
    <r>
      <rPr>
        <b/>
        <sz val="11"/>
        <rFont val="Arial Narrow"/>
        <family val="2"/>
      </rPr>
      <t xml:space="preserve">Pestaña que desarrolla la estructura para evaluar el estado del Sistema de Control Interno: </t>
    </r>
    <r>
      <rPr>
        <sz val="11"/>
        <rFont val="Arial Narrow"/>
        <family val="2"/>
      </rPr>
      <t xml:space="preserve">Se desagrega en </t>
    </r>
    <r>
      <rPr>
        <sz val="10"/>
        <rFont val="Arial Narrow"/>
        <family val="2"/>
      </rPr>
      <t>"Ambiente de Control", "Evaluación de riesgos", "Actividades de control", "Información y Comunicación", y " Actividades de Monitoreo", componentes actuales del Modelo Estándar de Control Interno MECI. La estructura es la siguiente para el diligenciamiento:</t>
    </r>
  </si>
  <si>
    <t>Columna</t>
  </si>
  <si>
    <t>Descripción</t>
  </si>
  <si>
    <t>Componente del MECI asociado</t>
  </si>
  <si>
    <t>Esta columna define los componentes del MECI.</t>
  </si>
  <si>
    <t>Lineamiento General por Componente</t>
  </si>
  <si>
    <t>En esta columna establece el lineamientos general para cada uno de los componentes del MECI</t>
  </si>
  <si>
    <t>Requerimiento Asociado al Componente</t>
  </si>
  <si>
    <t>Se muestran una serie de preguntas con 3 opciones de respuesta así:
1. SI
2.NO
3. EN PROCESO</t>
  </si>
  <si>
    <t>Evidencia de Seguimiento al Control</t>
  </si>
  <si>
    <t>Establezca actividades adelantadas de aplicación del documento o elemento antes identificado (esto cuando se responde SI o bien EN PROCESO)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</si>
  <si>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consolidar los resultados para cada componente evaluado.</t>
    </r>
  </si>
  <si>
    <t xml:space="preserve">Clasificación </t>
  </si>
  <si>
    <t>Observaciones del Control</t>
  </si>
  <si>
    <t>Mantenimiento del Control</t>
  </si>
  <si>
    <t>Existe requerimiento pero se requiere actividades  dirigidas a su mantenimiento dentro del marco de las lineas de defensa.</t>
  </si>
  <si>
    <t>Oportunidad de Mejora</t>
  </si>
  <si>
    <t>Se encuentra en proceso, pero requiere continuar con acciones dirigidas a contar con dicho aspecto de control</t>
  </si>
  <si>
    <t xml:space="preserve">Deficiencia del Control 
</t>
  </si>
  <si>
    <t>No se encuentra el aspecto  por lo tanto la entidad debera generar acciones dirigidas a que se cumpla con el requerimiento .</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</si>
  <si>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el estado del Sistema de Control Interno evaluado, información a partir de la cual se definen las acciones de mejora correspondientes. Esta hoja será el informe para publicación en página web, o bien para ubicar en un lugar visible en la sede de la entidad (esto para aquellas que no cuentan con conectividad o página web en operación).</t>
    </r>
  </si>
  <si>
    <t>MEDICION ESTADO DEL SISTEMA DE CONTROL INTERNO EN LA ENTIDAD</t>
  </si>
  <si>
    <t xml:space="preserve">No. </t>
  </si>
  <si>
    <t>Literal</t>
  </si>
  <si>
    <t>Requerimiento asociado al componente</t>
  </si>
  <si>
    <t>Seguimiento al control (Si, No, En proceso)</t>
  </si>
  <si>
    <t>Evidencia de seguimiento al control
(Establezca actividades adelantadas de aplicación del documento o elemento antes identificado, esto cuando se responde SI o bien EN PROCESO</t>
  </si>
  <si>
    <t>Evaluación</t>
  </si>
  <si>
    <t>1</t>
  </si>
  <si>
    <t>AMBIENTE DE CONTROL</t>
  </si>
  <si>
    <t>El ambiente de control institucional está integrado por todas esas condiciones mínimas que debe garantizar cualquier entidad pública para el ejercicio del control interno. Para el caso de su entidad indique si se cuenta con:</t>
  </si>
  <si>
    <t>a</t>
  </si>
  <si>
    <t>Documento interno o adopción del MECI actualizado</t>
  </si>
  <si>
    <t>No</t>
  </si>
  <si>
    <t>b</t>
  </si>
  <si>
    <t>Un documento tal como un código de ética, integridad u otro que formalice los estándares de conducta, los principios institucionales o los valores del servicio público</t>
  </si>
  <si>
    <t>Si</t>
  </si>
  <si>
    <t>c</t>
  </si>
  <si>
    <t>Planes, programas y proyectos de acuerdo con las normas que rigen y atendiendo con su propósito fundamental institucional (misión)</t>
  </si>
  <si>
    <t>d</t>
  </si>
  <si>
    <t>Una estructura organizacional formalizada (organigrama)</t>
  </si>
  <si>
    <t>e</t>
  </si>
  <si>
    <t>Un manual de funciones que describa los empleos de la entidad</t>
  </si>
  <si>
    <t>f</t>
  </si>
  <si>
    <t>La documentación de sus procesos y procedimientos o bien una lista de actividades principales que permitan conocer el estado de su gestión</t>
  </si>
  <si>
    <t>g</t>
  </si>
  <si>
    <t>Vinculación de los servidores públicos de acuerdo con el marco normativo que les rige (carrera administrativa, libre nombramiento y remoción, entre otros)</t>
  </si>
  <si>
    <t>h</t>
  </si>
  <si>
    <t>Procesos de inducción, capacitación y bienestar social para sus servidores públicos, de manera directa o en asociación con otras entidades municipales</t>
  </si>
  <si>
    <t>i</t>
  </si>
  <si>
    <t>Evaluación a los servidores públicos de acuerdo con el marco normativo que le rige</t>
  </si>
  <si>
    <t>j</t>
  </si>
  <si>
    <t>Procesos de desvinculación de servidores de acuerdo con lo previsto en la Constitución Política y las leyes</t>
  </si>
  <si>
    <t>k</t>
  </si>
  <si>
    <t>Mecanismos de rendición de cuentas a la ciudadanía</t>
  </si>
  <si>
    <t>l</t>
  </si>
  <si>
    <t>Presentación oportuna de sus informes de gestión a las autoridades competentes</t>
  </si>
  <si>
    <t>2</t>
  </si>
  <si>
    <t>EVALUACION DEL RIESGO</t>
  </si>
  <si>
    <t>Toda entidad debe identificar, evaluar y gestionar eventos potenciales, tanto internos como externos, que puedan afectar el logro de los objetivos institucionales. Para el caso de su entidad indique si se cuenta con:</t>
  </si>
  <si>
    <t>Identificación de cambios en su entorno que pueden generar consecuencias negativas en su gestión</t>
  </si>
  <si>
    <t>Identificación de aquellos problemas o aspectos que pueden afectar el cumplimiento de los planes de la entidad y en general su gestión institucional (riesgos)</t>
  </si>
  <si>
    <t>Identificación  de los riesgos relacionados con posibles actos de corrupción en el ejercicio de sus funciones</t>
  </si>
  <si>
    <t>Si su capacidad e infraestructura lo permite, identificación de riesgos asociados a las tecnologías de la información y las comunicaciones</t>
  </si>
  <si>
    <t>3</t>
  </si>
  <si>
    <t>Los líderes de los programas, proyectos, o procesos de la entidad  junto con sus equipos de trabajo:</t>
  </si>
  <si>
    <t>Hacen seguimiento a los problemas (riesgos)  que pueden afectar el cumplimiento de sus procesos, programas o proyectos a cargo</t>
  </si>
  <si>
    <t>Informan de manera periódica a quien corresponda sobre el desempeño de las actividades de gestión de riesgos</t>
  </si>
  <si>
    <t>Identifican deficiencias en las maneras de  controlar los riesgos o problemas en sus procesos, programas o proyectos, y propone los ajustes necesarios</t>
  </si>
  <si>
    <t>4</t>
  </si>
  <si>
    <t>Para el manejo de los problemas que afectan el cumplimiento de las metas u objetivos institucionales (riesgos), el jefe de control interno o quien haga sus veces, ha podido evidenciar si en la entidad:</t>
  </si>
  <si>
    <t>Se definen espacios de reunión para conocerlos y proponer acciones para su solución</t>
  </si>
  <si>
    <t>Cada líder del equipo autónomamente toma las acciones para solucionarlos.</t>
  </si>
  <si>
    <t>En proceso</t>
  </si>
  <si>
    <t>Solamente hasta que un organismo de control actúa se definen acciones de mejora.</t>
  </si>
  <si>
    <t>5</t>
  </si>
  <si>
    <t>ACTIVIDADES DE CONTROL</t>
  </si>
  <si>
    <t>Una vez identificados los problemas que afectan el cumplimiento de los planes de la entidad o su gestión institucional, la entidad debe diseñar los controles o mecanismos para darles tratamiento. Para el caso de su entidad indique si se cuenta con:</t>
  </si>
  <si>
    <t>La definición de acciones o actividades para para dar tratamiento a los problemas identificados (mitigación de riesgos), incluyendo aquellos asociados a posibles actos de corrupción</t>
  </si>
  <si>
    <t>Mecanismos de verificación de si se están o no mitigando los riesgos, o en su defecto, elaboración de planes de contingencia para subsanar sus consecuencias</t>
  </si>
  <si>
    <t>Planes, acciones o estrategias que permitan subsanar las consecuencias de la materialización de los riesgos, cuando se presentan</t>
  </si>
  <si>
    <t>Un documento que consolide  los riesgos  y el tratamiento que se les da, incluyendo aquellos que conllevan posibles actos de corrupción y si la capacidad e infraestructura lo permite, los asociados con las tecnologías de la información y las comunicaciones</t>
  </si>
  <si>
    <t>Un plan anticorrupción y de servicio al ciudadano con los temas que le aplican, publicado en algún medio para conocimiento de la ciudadanía</t>
  </si>
  <si>
    <t>6</t>
  </si>
  <si>
    <t>INFORMACION Y COMUNICACIÓN</t>
  </si>
  <si>
    <t>Las entidades deben procurar, de acuerdo con sus propias capacidades internas, que la información y la comunicación que requiere para su gestión y  control interno fluya de manera clara.  Acorde con lo anterior, indique si se cuenta con:</t>
  </si>
  <si>
    <t>Responsables de la información institucional</t>
  </si>
  <si>
    <t>Canales de comunicación con los ciudadanos</t>
  </si>
  <si>
    <t>Canales de comunicación o mecanismos de reporte de información a otros organismos gubernamentales o de control</t>
  </si>
  <si>
    <t xml:space="preserve">Lineamientos para dar tratamiento a la información de carácter reservado </t>
  </si>
  <si>
    <t>Identificación de información que produce en el marco de su gestión (Para los ciudadanos, organismos de control, organismos gubernamentales, entre otros)</t>
  </si>
  <si>
    <t>Identificación de información necesaria para la operación de la entidad (normograma, presupuesto, talento humano, infraestructura física y tecnológica)</t>
  </si>
  <si>
    <t>Si su capacidad e infraestructura lo permite, tecnologías de la información y las comunicaciones que soporten estos procesos</t>
  </si>
  <si>
    <t>7</t>
  </si>
  <si>
    <t>ACTIVIDADES DE MONITOREO</t>
  </si>
  <si>
    <t>Las entidades deben valorar: la eficiencia y eficacia de su gestión y la efectividad del control interno de la entidad pública con el propósito de detectar desviaciones y generar recomendaciones para la mejora. Para el caso de su entidad indique si se cuenta con:</t>
  </si>
  <si>
    <t>Mecanismos de evaluación de la gestión (cronogramas, indicadores, listas de chequeo u otros)</t>
  </si>
  <si>
    <t>Algún mecanismo para monitorear o supervisar el sistema de control interno institucional, ya sea por parte del representante legal, o del área de control interno (si la entidad cuenta con ella), o bien a través del Comité departamental o municipal de Auditoría.</t>
  </si>
  <si>
    <t>Medidas correctivas en caso de detectarse deficiencias en los ejercicios de evaluación, seguimiento o auditoría</t>
  </si>
  <si>
    <t>Seguimiento a los planes de mejoramiento suscritos con instancias de control internas o externas</t>
  </si>
  <si>
    <t>8</t>
  </si>
  <si>
    <t>¿La entidad ha solicitado hacer parte del Comité Municipal de Auditoría, a efectos de contar con un escenario para compartir buenas prácticas en materia de control interno, así como analizar la viabilidad de contar como mínimo con un proceso auditor en la vigencia?</t>
  </si>
  <si>
    <t>La entidad participa en el  Comité Municipal de Auditoría?</t>
  </si>
  <si>
    <t>9</t>
  </si>
  <si>
    <t>El jefe de control interno o quien haga sus veces, ha podido evidenciar si en la entidad el manejo que se ha hecho a los problemas que afectan el cumplimiento de sus metas y objetivos (riesgos) le ha permitido:</t>
  </si>
  <si>
    <t>Evitar que los problemas (riesgos) obstaculicen el cumplimiento de los objetivos.</t>
  </si>
  <si>
    <t>Controlar los puntos críticos en los procesos.</t>
  </si>
  <si>
    <t>Diseñar acciones adecuadas para controlar los problemas que afectan el cumplimiento de las metas y objetivos institucionales (riesgos).</t>
  </si>
  <si>
    <t>Ejecutar las acciones de acuerdo a como se diseñaron previamente.</t>
  </si>
  <si>
    <t>No se gestionan los problemas que afectan el cumplimiento de las funciones y objetivos institucionales(riesgos).</t>
  </si>
  <si>
    <t>ANÁLISIS DE RESULTADOS PARA LA TOMA DE DECISIONES</t>
  </si>
  <si>
    <t>Se encuentra en proceso, pero requiere continuar con acciones dirigidas a contar con dicho aspecto de control.</t>
  </si>
  <si>
    <t>Se encuentra presente  y funcionando, pero requiere mejoras frente a su diseño, ya que  opera de manera efectiva</t>
  </si>
  <si>
    <t>No se encuentra el aspecto  por lo tanto la entidad debera generar acciones dirigidas a que se cumpla con el requerimiento.</t>
  </si>
  <si>
    <t>RESULTADOS</t>
  </si>
  <si>
    <t>FUENTE DEL ANALISIS</t>
  </si>
  <si>
    <t xml:space="preserve">Seguimiento al control </t>
  </si>
  <si>
    <t>OBSERVACIONES DEL CONTROL</t>
  </si>
  <si>
    <t>NIVEL DE CUMPLIMIENTO-ASPECTOS PARTICULARES POR COMPONENTE</t>
  </si>
  <si>
    <t>NIVEL DE CUMPLIMIENTO COMPONENTE</t>
  </si>
  <si>
    <t>componente</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</si>
  <si>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</si>
  <si>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</si>
  <si>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</si>
  <si>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</si>
  <si>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</si>
  <si>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</si>
  <si>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</si>
  <si>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</si>
  <si>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¿se esta cumpliendo los requerimientos ?</t>
  </si>
  <si>
    <t>Nivel de Cumplimiento componente</t>
  </si>
  <si>
    <r>
      <rPr>
        <b/>
        <u/>
        <sz val="20"/>
        <color theme="0"/>
        <rFont val="Arial"/>
        <family val="2"/>
      </rPr>
      <t xml:space="preserve"> Estado actual:</t>
    </r>
    <r>
      <rPr>
        <b/>
        <sz val="20"/>
        <color theme="0"/>
        <rFont val="Arial"/>
        <family val="2"/>
      </rPr>
      <t xml:space="preserve"> Explicacion de las Debilidades y/o Fortalezas encontradas en cada componente</t>
    </r>
  </si>
  <si>
    <t>EVALUCION DEL RIESGO</t>
  </si>
  <si>
    <t>ACTIVIDADES DEL CONTROL</t>
  </si>
  <si>
    <t xml:space="preserve">ACTIVIDADES DE MONITOREO </t>
  </si>
  <si>
    <t xml:space="preserve">Evaluación </t>
  </si>
  <si>
    <t>Puntaje</t>
  </si>
  <si>
    <t xml:space="preserve">Orden </t>
  </si>
  <si>
    <t>Nivel de cumplimiento -Aaspectos particulares por componente</t>
  </si>
  <si>
    <t xml:space="preserve">Promedios </t>
  </si>
  <si>
    <t>1a</t>
  </si>
  <si>
    <t>1b</t>
  </si>
  <si>
    <t>1c</t>
  </si>
  <si>
    <t>1d</t>
  </si>
  <si>
    <t>1e</t>
  </si>
  <si>
    <t>1f</t>
  </si>
  <si>
    <t>1g</t>
  </si>
  <si>
    <t>1h</t>
  </si>
  <si>
    <t>1i</t>
  </si>
  <si>
    <t>1j</t>
  </si>
  <si>
    <t>1k</t>
  </si>
  <si>
    <t>1l</t>
  </si>
  <si>
    <t>2a</t>
  </si>
  <si>
    <t>La identificación de cambios en su entorno que pueden generar consecuencias negativas en su gestión</t>
  </si>
  <si>
    <t>2b</t>
  </si>
  <si>
    <t>La identificación de aquellos problemas o aspectos que pueden afectar el cumplimiento de los planes de la entidad y en general su gestión institucional (riesgos)</t>
  </si>
  <si>
    <t>2c</t>
  </si>
  <si>
    <t>La identificación  de los riesgos relacionados con posibles actos de corrupción en el ejercicio de sus funciones</t>
  </si>
  <si>
    <t>2d</t>
  </si>
  <si>
    <t>3a</t>
  </si>
  <si>
    <t>3b</t>
  </si>
  <si>
    <t>3c</t>
  </si>
  <si>
    <t>4a</t>
  </si>
  <si>
    <t>4b</t>
  </si>
  <si>
    <t>4c</t>
  </si>
  <si>
    <t>5a</t>
  </si>
  <si>
    <t>5b</t>
  </si>
  <si>
    <t>5c</t>
  </si>
  <si>
    <t>5d</t>
  </si>
  <si>
    <t>5e</t>
  </si>
  <si>
    <t>6a</t>
  </si>
  <si>
    <t>6b</t>
  </si>
  <si>
    <t>6c</t>
  </si>
  <si>
    <t>6d</t>
  </si>
  <si>
    <t>6e</t>
  </si>
  <si>
    <t>El jefe de control interno o quien haga sus veces, ha podido evidenciar si en la entidad si el manejo que se ha hecho a los problemas que afectan el cumplimiento de sus metas y objetivos (riesgos) le ha permitido:</t>
  </si>
  <si>
    <t>6f</t>
  </si>
  <si>
    <t>6g</t>
  </si>
  <si>
    <t>7a</t>
  </si>
  <si>
    <t>7d</t>
  </si>
  <si>
    <t>7f</t>
  </si>
  <si>
    <t>7g</t>
  </si>
  <si>
    <t>8h</t>
  </si>
  <si>
    <t>9a</t>
  </si>
  <si>
    <t>9b</t>
  </si>
  <si>
    <t>9c</t>
  </si>
  <si>
    <t>9d</t>
  </si>
  <si>
    <t>9e</t>
  </si>
  <si>
    <t>EMPRESA SOCIAL DEL ESTADO ESE HOSPITAL REGIONAL CENTRO.</t>
  </si>
  <si>
    <t>PLAN ANTICORRUPCIÓN Y DE ATENCIÓN AL CIUDADANO, PUBLICADO EN LA PÁGINA WEB INSTITUCIONAL.</t>
  </si>
  <si>
    <t>LAS DEFICIENCIAS OBSERVADAS, SON EVALUADAS EN EL COMITÉ INSTITUCIONAL DE CONTROL INTERNO Y, EN EL COMITÉ INSTITUCIONAL DE GESTIÓN Y DESEMPEÑO.</t>
  </si>
  <si>
    <t>ANÁLISIS Y MONITOREO DE LAS ACCIONES CORRECTIVAS IMPLEMENTADAS EN LA MATRIZ DE RIESGOS, PARA EVITAR LA MATERIALIZACÓN DE LOS MISMOS.</t>
  </si>
  <si>
    <t>LA INFORMACIÓN GENERADA EN LA ESE, SE ENCUENTRA PLENAMENTE IDENTICADA POR CADA UNA DE LAS ÁREAS, DE ACUERDO A SU ÁMBITO DE COMPETENCIA.</t>
  </si>
  <si>
    <t>DISEÑO E IMPLEMENTACIÓN DE ACCIONES A TRAVÉS DEL ANÁLISIS Y EVALUACIÓN DE LA MATRIZ DOFA.</t>
  </si>
  <si>
    <t>EVALUAR LA EFECTIVIDAD DE LOS CONTROLES IMPLEMENTADOS PARA EVITAR LA MATERIALIZACIÓN DE LOS RIESGOS Y/O LA MITIGACIÓN DE LOS MISMOS.</t>
  </si>
  <si>
    <t>EVALUACIÓN Y SEGUIMIENTO PLAN ANTICORRUPCIÓN Y DE ATENCIÓN AL CIUDADANO, PUBLICADO EN LA PÁGINA WEB.</t>
  </si>
  <si>
    <t>GERENCIA, ÁREA DE CONTABILIDAD, PRESUPUESTO, ÁREA DE SIAU Y ESTADISTICA, CONTRATACIÓN, JURIDICA, CALIDAD, CONTROL INTERNO.</t>
  </si>
  <si>
    <t xml:space="preserve">SON EVALUADOS Y ANALIZADOS LOS FACTORES INTERNOS Y EXTERNOS, QUE PUEDAN AFECTAR EL CUMPLIMIENTO DE LOS OBJETIVOS PLANTEADOS EN EL PLAN DE DESARROLLO INSTITUCIONAL. </t>
  </si>
  <si>
    <t>MONITOREO Y EVALUACIÓN, A TRAVÉS DEL COMITÉ INSTITUCIONAL DE COORDINACIÓN  CONTROL INTERNO, ASIMISMO, SEGUIMIENTO Y EVALUACIÓN AL PLAN ANUAL DE AUDITORIAS,CONJUNTAMENTECON LOS INFORMES DE EVALUACIÓN INDEPENDIENTE DEL ESTADO DEL SISTEMA DE CONTROL INTERNO.</t>
  </si>
  <si>
    <t>ANALISIS DE CADA UNO DE LOS PUNTOS CRITICOS, PARA DETERMINAR SI LAS MEDIDAS IMPLEMENTADAS, GENERAN LOS RESULTADOS ESPERADOS.</t>
  </si>
  <si>
    <t>REUNIONES  CON SUS RESPECTIVAS ACTAS, DEL  COMITÉ INSTITUCIONAL DE COORDINACIÓN DE CONTROL INTERNO Y, DEL COMITÉ INSTITUCIONES DE GESTIÓN Y DESEMPEÑO.</t>
  </si>
  <si>
    <t>MATRIZ DE RIESGOS DE CORRUPCIÓN Y, PLAN ANTICORRUPCIÓN Y DE ATENCIÓN AL CIUDADANO.</t>
  </si>
  <si>
    <t>MEDIANTE EVALUACIÓN Y SEGUIMIENTO A LA MATRIZ DE RIESGOS Y, A LOS PLANES DE MEJORAMIENTO SUSCRITOS.</t>
  </si>
  <si>
    <t>ANALISIS Y RETROALIMENTACIÓN DE LA MATRIZ DE RIEGOS.</t>
  </si>
  <si>
    <t>CORREOS ELECTRONICOS, PÁGINA WEB INSTITUCIONAL,FACEBOOK.COM  E INSTAGRAM.COM/ESECENTRO.</t>
  </si>
  <si>
    <t>NO EXISTE UN PROCESO DOCUMENTADO PARA TAL FIN.</t>
  </si>
  <si>
    <t>SE DESCONOCE LA EXISTENCIA Y OPERATIVIDAD DEL COMITÉ MUNICIPAL DE AUDITORÍA.</t>
  </si>
  <si>
    <t>EVALUACIÓN DE INDICADORES DE GESTIÓN, DE CONFORMIDAD A LO ESTABLECIDO EN LA RESOLUCIÓN No. 000408   DEL 15 FEBRERO DE 2018, EMANADA DEL MINISTERIO DE SALUD Y PROTECIÓN SOCIAL..</t>
  </si>
  <si>
    <t>SE ANALIZAN PERIODICAMENTE EN LAS REUNIONES CON LA ALTA DIRECCIÓN Y EN EL COMITÉ INSTITUCIONAL COORDINADOR DE CONTROL INTERNO.</t>
  </si>
  <si>
    <t>LA INFORMACIÓN GENERADA ES DE CARÁCTER PUBLICA, DE CONOCIMIENTO DE LOS CIUDADANOS, COMUNIDAD EN GENERAL  Y, ORGANOS DE CONTROL,  QUE LA REQUIERAN.</t>
  </si>
  <si>
    <t>PLAN DE DESARROLLO INSTITUCIONAL Y, PLAN DE GESTIÓN.</t>
  </si>
  <si>
    <t>ACTOS ADMINISTRTIVOS DE NOMBRANIENTO Y DE POSESIÓN DE LOS FUNCIONARIOS VINCULADOS A LA INSTITUCIÓN, BIEN SEAN A LA PLANTA CENTRAL O COMO PROFESIONALES DE SERVICIO SOCIAL OBLIGATORIO- SSO- EN EL ÁREA ASISTENCIAL.</t>
  </si>
  <si>
    <t>SI, SE RETROALIMENTAN LOS PROCESOS, IGUALMENTE, SE ANALIZAN LOS CONTROLES ESTABLECIDOS PARA LA MITIGACIÓN DE RIESGOS.</t>
  </si>
  <si>
    <t>ELABORACIÓN DE PLANES DE MEJORAMIENTO.</t>
  </si>
  <si>
    <t xml:space="preserve">No  </t>
  </si>
  <si>
    <t>DEFICIENCIAS EN LA RED DE CONECTIVIDAD EN CADA UNA DE LAS IPS, ATRIBUIBLES A FACTORES GEOGRÁFICOS Y DE CONECTIVIDAD EN CADA UNO DE LOS MUNICIPIOS QUE CONFORMAN LA ESE. NO EXISTE DOCUMENTO RELACIONADO CON RIESGOS ASOCIADOS A LAS TECNOLOGÍAS DE LA INFORMACIÓN Y COMUNICACIONES.</t>
  </si>
  <si>
    <t xml:space="preserve"> PUBLICACIÓN DEL CÓDIGO DE ÉTICA Y/ O CÓDIGO DE INTEGRIDAD EN LA PÁGINA WEB INSTITUCIONAL.</t>
  </si>
  <si>
    <t>PROGRAMA INSTITUCIONAL DE CAPACITACIÓN Y, DE  BIENESTAR SOCIAL,  PROCESO DE INDUCCIÓN A NUEVOS FUNCIONARIOS Y, CAPACITACIONES VIRTUALES Y/O PRESENCIALES CONJUNTAMENTE CON LA ARL POSITIVA, LIDERADOS POR EL ÁREA DE SEGURIDAD Y SALUD EN EL TRABAJO.</t>
  </si>
  <si>
    <t>REUNIONES TRIMESTRALES Y SUSCRIPCIÓN DE ACTAS DE LOS COMITES INSTITUCIONALES  DEL ÁREA ASISTENCIAL Y ADMINISTRATIVA, QUE SE ENCUENTRAN EN OPERATIVIDAD EN LA ESE HOSPITAL REGIONAL CENTRO.</t>
  </si>
  <si>
    <t>INFORME TRIMESTRAL DECRETO 2193/2004, EN PLATAFORMA SIHO- MINISTERIO DE SALUD Y PROTECCIÓN SOCIAL , PLATAFORMA SIA OBSERVA- CONTRALORIA GENERAL DEL DPTO NORTE DE SANTANDER- INFORME A LA PLATAFORMA CUIPO- CONTADURÍA GENERAL DE LA NACIÓN, INFORME A LA PLATAFORMA PISIS DEL MINISTERIO DE SALUD Y, CHIP DE LA CONTADURÍA GENERAL DE LA NACIÓN.</t>
  </si>
  <si>
    <t xml:space="preserve">NO SE HA EXPEDIDO ACTO ADMINISTRATIVO PARA TRATAMIENTO DE LA INFORMACIÓN DE CARÁCTER RESERVADO. SIN EMBARGO EXISTEN LINEAMIENTOS PARA TAL FIN, EN LA CONFIDENCIALIDAD EN LOS PROCESOS DE FACTURACIÓN Y MANEJO DE HISTORIAS CLINICAS. </t>
  </si>
  <si>
    <t>EVALUACIÓN INDICADORES DE GESTIÓN VIGENCIA 2023, POR PARTE DE LA JUNTA DIRECTIVA DE LA ESE,  ASI COMO LA PRESENTACIÓN TRIMESTRAL DEL INFORME DE RIPS, POR PARTE DE LA GERENCIA Y SU EQUIPO DEL ÁREA DE CALIDAD,.</t>
  </si>
  <si>
    <t xml:space="preserve">EVALUACIÓN SISTEMA DE CONTROL INTERNO  A 31 DE DICIEMBRE DEL AÑO 2024. NELSON IBARRA BLANCO. </t>
  </si>
  <si>
    <t>NO SE HA EFECTUADO ACTO ADMINISTRATIVO PARA LA ADOPCIÓN DEL MODELO ESTANDAR DE CONTROL INTERNO- MECI-.</t>
  </si>
  <si>
    <t>SE VERIFICO QUE NO SE PROCEDIO A LA EVALUACIÓN DE LOS SERVIDORES PÚBLICOS DE CARRERA ADMINISTRATIVA VINCULADOS A LA ENTIDAD, DURENTE LA VIGENCIA FISCAL 2024, POR PARTE DEL JEFE  DE TALENTO HUMANO DE LA ENTIDAD.</t>
  </si>
  <si>
    <t>DESVINCULACIÓN DE FUNCIONARIOS, CUANDO ADQUIEREN EL STATUS DE JUBILACIÓN, PREVIO CUMPLIMIENTO DE LA NORMATIVIDAD LEGAL VIGENTE EN LA MATERIA, ASIMISMO, POR TERMINACIÓN DE S.S.O.</t>
  </si>
  <si>
    <t>PROCESO DE RENDICIÓN DE CUENTAS CORRESPONDIENTE A LA VIGENCIA 2023, RENDICIÓN EFECTUADA DURANTE EL MES DE MARZO/2024.</t>
  </si>
  <si>
    <t>ANALISIS DE FACTORES  INTERNOS Y EXTERNOS, QUE AFECTEN O IMPIDAN  EL CUMPLIMIENTO DE LOS OBJETIVOS INSTITUCIONALES.</t>
  </si>
  <si>
    <t>SE REQUIERE POR PARTE DEL ÁREA DE PLANEACIÓN, LA IDENTIFICACIÓN DE RIESGOS QUE, IMPIDAN EL CUMPLIMIENTO DE LA GESTIÓN INSTITUCIONAL.</t>
  </si>
  <si>
    <t>INFORMES DE AUDITORIA  INTERNA Y EXTERNA, Y DE ORGANISMOS DE CONTROL.</t>
  </si>
  <si>
    <t>RETROALIMENTACIÓN POR PARTE DEL ÁREA DE PLANEACIÓN DE LA MATRIZ DE RIEGOS.</t>
  </si>
  <si>
    <t>LA OFICINA DE CONTROL INTERNO, REALIZA SEGUIMIENTO A LOS PLANES DE MEJORAMIENTO, SUSCRITOS POR LA ENTIDAD Y, RINDE INFORME A LA CONTRALORÍA GENERAL DEL DEPARTEMENTO NORTE DE SANTANDER, SOBRE EL CUMPLIMIENTO DE LAS ACCIONES CORRECTIVAS.</t>
  </si>
  <si>
    <r>
      <rPr>
        <b/>
        <sz val="12"/>
        <color theme="1"/>
        <rFont val="Arial"/>
        <family val="2"/>
      </rPr>
      <t>DEBILIDADES:1.</t>
    </r>
    <r>
      <rPr>
        <sz val="12"/>
        <color theme="1"/>
        <rFont val="Arial"/>
        <family val="2"/>
      </rPr>
      <t xml:space="preserve">SE REQUIERE MAYOR OPERATIVIDAD Y FUNCIONABILIDAD DEL COMITÉ INSTITUCIONAL DE GETIÓN Y DESEMPEÑO,  PARA LA EVALUACIÓN Y EL SEGUIMIENTO A LAS POLITICAS INSTITUCIONALES.2. MAYOR COMPROMISO DE LAS LINEAS DE DEFENSA, PARA LA EVALUACIÓN DE LOS CONTROLES A LOS RIESGOS INSTITUCIONALES. 3. LOS CONTROLES ESTABLECIDOS EN EL MAPA DE RIESGOS, DEBEN SER MONITORIADOS Y EVALUADOS PERIODICAMENTE, PARA EVITAR SU MATERIALIZACIÓN. </t>
    </r>
    <r>
      <rPr>
        <b/>
        <sz val="12"/>
        <color theme="1"/>
        <rFont val="Arial"/>
        <family val="2"/>
      </rPr>
      <t>FORTALEZAS:1.</t>
    </r>
    <r>
      <rPr>
        <sz val="12"/>
        <color theme="1"/>
        <rFont val="Arial"/>
        <family val="2"/>
      </rPr>
      <t>DURANTE LA VIGENCIA FISCAL 2024, LAS AUDITORIAS INTERNAS, SE EJECUTARON DE CONFORMIDAD AL CRONOGRAMA DE AUDITORIAS APROBADO POR EL COMITE INSTITUCIONAL DE COORDINACIÓN DE CONTROL INTERNO,  ACCIONES QUE FORTALECIERON LAS ACTIVIDADES DE CONTROL. 2. SE REALIZO SEGUIMIENTO A LOS  PROCESOS DE GESTIÓN DE CONTROL.3. LA ENTIDAD CUENTA CON PÁGINA WEB, LA INFORMACIÓN GENERADA ES PUBLICADA PARA CONOCIMIENTO DE LOS GRUPOS DE INTERES Y DE LA COMUNIDAD EN GENERAL.</t>
    </r>
  </si>
  <si>
    <t>ORGANIGRAMA APROBADO POR JUNTA DIRECTIVA DE LA ESE, REQUIERE ACTUALIZACIÓN.</t>
  </si>
  <si>
    <t>MANUAL DE FUNCIONES MODIFICADO MEDIANTE ACUERDO No.004 DE  MAYO  DEL 2019, APROBADO POR JUNTA DIRECTIVA, ACTUALMENTE DESACTUALIZADO.</t>
  </si>
  <si>
    <t>LOS PROCESOS Y PROCEDIMIENTOS, SE ENCUENTRAN DOCUMENTADOS, LOS CUALES REQUIEREN   RETROALIMENTACIÓN; IGUALMENTE, EXISTE EL DRIVE Y, CARACTERIZADOR DE PROCESOS POR ÁREAS.</t>
  </si>
  <si>
    <r>
      <rPr>
        <b/>
        <sz val="12"/>
        <color theme="1"/>
        <rFont val="Arial"/>
        <family val="2"/>
      </rPr>
      <t xml:space="preserve">DEBILIDADES: </t>
    </r>
    <r>
      <rPr>
        <sz val="12"/>
        <color theme="1"/>
        <rFont val="Arial"/>
        <family val="2"/>
      </rPr>
      <t xml:space="preserve">EL PROCESO DE GESTIÓN DOCUMENTAL, NO HA SIDO IMPLEMENTADO DE CONFORMIDAD A LO ESTABLECIDO EN LA LEY 594/2000 Y, DEMÁS NORMAS COMPLEMENTARIAS. 2. LOS PROCESOS Y PROCEDIMIENTOS PARA LA EJECUCIÓN DE LAS ACTIVIDADES DE COMUNICACIÓN E INFORMACIÓN, DEBEN SER DOCUMENTADOS </t>
    </r>
    <r>
      <rPr>
        <b/>
        <sz val="12"/>
        <color theme="1"/>
        <rFont val="Arial"/>
        <family val="2"/>
      </rPr>
      <t xml:space="preserve">.3. NO SE CUENTA CON MANUAL DE POLITICAS DE SEGURIDAD INFORMATICA. FORTALEZAS: </t>
    </r>
    <r>
      <rPr>
        <sz val="12"/>
        <color theme="1"/>
        <rFont val="Arial"/>
        <family val="2"/>
      </rPr>
      <t>1. SE TIENEN ESTABLECIDOS CANALES VIRTUALES DE COMUNICACIÓN; TAMBIÉN SE HACE USO DE CARTELERAS INFORMATIVAS Y DE EMISORAS RADIALES COMUNITARIAS. 2. LOS INFORMES DE  AUDITORIA INTERNA, POR PARTE DE LA OFICINA DE CONTROL INTERNO, PERMITEN EFECTUAR EVALUACIÓN AL PROCESO   P,Q,R,S,D, Y, AL PROCESO DE RENDICIÓN DE CUENTAS.</t>
    </r>
  </si>
  <si>
    <t xml:space="preserve"> LA ESE HOSPITAL REGIONAL CENTRO, CUENTA CON UNA INTEGRACIÓN ENTRE EL SISTEMA DE PLANEACIÓN Y GESTIÓN Y EL SISTEMA DE CONTROL INTERNO, TENIENDO EN CUENTA EL  CUMPLIMIENTO DE LAS RESPONSABILIDADES ASIGNADAS A CADA UNA DE LAS LINEAS DE DEFENSA,  VERIFICANDOSE LA INTEGRACIÓN Y EL CUMPLIMIENTO DE LOS OBJETIVOS ESTRATEGICOS INSTITUCIONALES.  SE HA EFECTUADO RETROLIMENTACIÓN DE LOS PROCESOS Y PROCEDIMIENTOS EN EL ÁREA ADMINISTRATIVA Y ASISTENCIAL, CON EL OBJETO QUE LA ENTIDAD CUMPLA CON LO ESTABLECIDO EN LA NORMATIVIDAD.</t>
  </si>
  <si>
    <t>EL SISTEMA DE CONTROL INTERNO IMPLEMENTADO EN LA ESE HOSPITAL REGIONAL CENTRO, HA EVIDENCIADO SU EFECTIVIDAD. EL SISTEMA MONITOREA Y EFECTUA SEGUIMIENTO A LOS PROCESOS Y PROCEDIMIENTOS A TRAVÉS DE LA PRIMERA LINEA DE DEFENSA , CON EL APOYO DE LA SEGUNDA LINEA;  ADICIONALMENTE SE REALIZA  EVALUACIÓN INDEPENDIENTE DEL SISTEMA, A CARGO DE LA DEPENDENCIA DE CONTROL INTERNO,   TENIENDO COMO BASE  LA MATRIZ DE RIESGOS  SE EFECTUA SEGUIMIENTO CONSTANTE Y, AUDITORIAS INTERNAS, CUYOS RESULTADOS SON COMUNICADOS A LAS AREAS INVOLUCRADAS Y, A LA ALTA DIRECCIÓN, CON EL PROPOSITO DE IDENTIFICAR MEJORAS, CUYOS RESULTADOS SERVIRAN COMO INSUMO PARA LA TOMA DE DECISIONES, QUE PERMITAN ALCANZAR EL CUMPLIMIENTO DE LOS OBJETIVOS INSTITUCIONALES.</t>
  </si>
  <si>
    <t>LA ENTIDAD CUENTA CON EL COMITE INSTITUCIONAL DE COORDINACIÓN DEL SISTEMA DE CONTROL INTERNO, EL CUAL ES COORDINADO POR LA DEPENDENCIA DE CONTRO INTERNO, EJERCIENDO LA SECRETARIA TECNICA DEL COMITÉ, LIDERADO POR LA GERENTE DE LA ENTIDAD,  POR MEDIO DEL CUAL SE APRUEBA EL PROGRAMA Y EL PLAN ANUAL DE AUDITORIAS INTERNAS Y, SE REALIZA SEGUIMIENTO Y EVALUACIÓN AL ESTADO DEL SISTEMA DE CONTROL INTERNO, CREADO MEDIANTE RESOLUCIÓN No.  0120 DEL 17 DE SEPTIEMBRE DEL 2021 Y, MODIFICADO MEDIANTE RESOLUCIÓN No. 130 DEL 27 DE JUNIO DEL AÑO 2023.</t>
  </si>
  <si>
    <r>
      <rPr>
        <b/>
        <sz val="12"/>
        <rFont val="Arial"/>
        <family val="2"/>
      </rPr>
      <t>DEBILIDADES</t>
    </r>
    <r>
      <rPr>
        <sz val="12"/>
        <rFont val="Arial"/>
        <family val="2"/>
      </rPr>
      <t>:1.  LOS COMITES INSTITUCIONALES DEL ÁREA ADMINISTRATIVA Y ASISTENCIAL, REQUIEREN REUNIONES CON MAYOR PERIODICIDAD. 2. LOS PLANES INSTITUCIONALES DE CAPACITACIÓN Y DE BIENESTAR SOCIAL, ADEMAS DE LA SOCIALIZACIÓN CON LOS FUNCIONARIOS, DEBEN CONTAR CON INDICADORES DE MEDICIÓN. 3. LOS COMPONENTES DEL AUTOCONTROL Y AUTOEVALUACIÓN, DEBEN  SER INTRINSICOS A CADA UNA DE LAS ÁREAS INSTITUCONALES DE LA ENTIDAD.4. EL PLAN INSTITUCIONAL DE CAPACITACIÓN, DEBE EJECUTARSE DE ACUERDO AL CRONOGRAMA PROPUESTO. 5. LA POLITICA INSTITUCIONAL PARA EL MANEJO DE LOS RIESGOS, DEBE SER EVALUADA PERMANENTEMENTE, DE CONFORMIDAD A LOS LINEAMIENTOS ESTABLECIDOS POR EL DEPARTAMENTO ADMINISTRATIVO DE LA FUNCIÓN PÚBLICA.</t>
    </r>
    <r>
      <rPr>
        <b/>
        <sz val="12"/>
        <rFont val="Arial"/>
        <family val="2"/>
      </rPr>
      <t xml:space="preserve"> FORTALEZAS:</t>
    </r>
    <r>
      <rPr>
        <sz val="12"/>
        <rFont val="Arial"/>
        <family val="2"/>
      </rPr>
      <t xml:space="preserve"> 1. SE HA INSTITUCIONALIZADO  REUNIÓN TRIMESTRAL DE LOS COMITÉS ADMINISTRATIVOS Y ASISTENCIALES DE LA ENTIDAD, PARA EVALUAR SU GESTIÓN. 2. LA  OFICINA DE CONTROL INTERNO Y CALIDAD, EFECTUAN EVALUACIONES PERIODICAS A LOS PROCESOS Y PROCEDIMIENTOS EN LAS ÁREAS ADMINISTRATIVAS Y ASISTENCIALES.. 3. EL AVANCE E IMPLEMENTACIÓN DE LOS COMPONENTES  MIPG, SON EVLUADOS PERIODICAMENTE. 4. LA IMPLEMETACIÓN Y MONITOREO DE CONTROLES, HA PERMITIDO QUE NO SE PRESENTEN ACTOS DE CORRUPCIÓN QUE, CONLLEVEN DE UNA PARTE, AL DETRIMENTO DEL HERARIO PÚBLICO DE LOS RECURSOS ASIGNADOS A LA ENTIDAD PARA EL CUMPLIMIENTO DE SU MISIÓN INSTITUCIONAL, Y DE OTRA, A LA PERDIDA DE LA IMAGEN INSTITUCIONAL DE LA ENTIDAD.</t>
    </r>
  </si>
  <si>
    <r>
      <rPr>
        <b/>
        <sz val="12"/>
        <rFont val="Arial"/>
        <family val="2"/>
      </rPr>
      <t>DEBILIDADES</t>
    </r>
    <r>
      <rPr>
        <b/>
        <sz val="12"/>
        <color theme="1"/>
        <rFont val="Arial"/>
        <family val="2"/>
      </rPr>
      <t>:1</t>
    </r>
    <r>
      <rPr>
        <sz val="12"/>
        <color theme="1"/>
        <rFont val="Arial"/>
        <family val="2"/>
      </rPr>
      <t xml:space="preserve">.  ES RECOMENDABLE, LA EVALUACIÓN, ACTUALIZACIÓN Y RETROALIMENTACIÓN DE LA POLÍTICA PARA LA ADMINISTRACIÓN DEL RIESGO, CON LA PARTICIPACIÓN DE TODAS LAS AREAS, PROCESO LIDERADO POR EL ÁREA DE PLANEACIÓN. 2.  ACTUALIZACIÓN PERIODICA DE LA MATRIZ DE RIESGOS DE LA ENTIDAD, LIDERADO POR EL ÁREA DE PLANEACIÓN. </t>
    </r>
    <r>
      <rPr>
        <b/>
        <sz val="12"/>
        <rFont val="Arial"/>
        <family val="2"/>
      </rPr>
      <t>FORTALEZAS</t>
    </r>
    <r>
      <rPr>
        <b/>
        <sz val="12"/>
        <color theme="1"/>
        <rFont val="Arial"/>
        <family val="2"/>
      </rPr>
      <t xml:space="preserve">: 1. </t>
    </r>
    <r>
      <rPr>
        <sz val="12"/>
        <color theme="1"/>
        <rFont val="Arial"/>
        <family val="2"/>
      </rPr>
      <t>LA POLITICA PRESUPUESTAL, DE ADQUIRIR COMPROMISOS TENIENDO EN CUENTA EL VALOR RECAUDO</t>
    </r>
    <r>
      <rPr>
        <b/>
        <sz val="12"/>
        <color theme="1"/>
        <rFont val="Arial"/>
        <family val="2"/>
      </rPr>
      <t xml:space="preserve">, </t>
    </r>
    <r>
      <rPr>
        <sz val="12"/>
        <color theme="1"/>
        <rFont val="Arial"/>
        <family val="2"/>
      </rPr>
      <t xml:space="preserve"> HA PERMITIDO QUE LA ESE HOSPITAL REGIONAL CENTRO, FINANCIERAMENTE ESTE CATEGORIZADA EN RIESGO BAJO. 2 .LOS COMITÉS INSTITUCIONLES, CONTINUAN OPERANDO PARA EFECTUAR  SEGUIMIENTO A LOS PROGRAMAS Y PROYECTOS EJECUTADOS POR LA ENTIDAD. 3. LA ENTIDAD CUENTA CON PLAN DE DESARROLLO, PLAN DE GESTIÓN, EL CUAL ES EVALUADO ANUALMENTE POR PARTE DE LA JUNTA DIRECTIVA, PLAN ESTRATEGICO DE TALENTO HUMANO, PLAN DE CAPACITACIÓN Y PROGRAMA ANUAL  DE SALUD Y SEGURIDAD EN EL TRABAJO.</t>
    </r>
  </si>
  <si>
    <r>
      <rPr>
        <b/>
        <sz val="12"/>
        <color theme="1"/>
        <rFont val="Arial"/>
        <family val="2"/>
      </rPr>
      <t xml:space="preserve">DEBILIDADES: 1. </t>
    </r>
    <r>
      <rPr>
        <sz val="12"/>
        <color theme="1"/>
        <rFont val="Arial"/>
        <family val="2"/>
      </rPr>
      <t>SE REQUIERE MAYOR OPERATIVIDAD  POR PARTE DE L0S COMITES INSTITUCIONALES DEL ÁREA ADMINISTRATIVA Y ASISTENCIAL. 2</t>
    </r>
    <r>
      <rPr>
        <b/>
        <sz val="12"/>
        <color theme="1"/>
        <rFont val="Arial"/>
        <family val="2"/>
      </rPr>
      <t xml:space="preserve"> . </t>
    </r>
    <r>
      <rPr>
        <sz val="12"/>
        <color theme="1"/>
        <rFont val="Arial"/>
        <family val="2"/>
      </rPr>
      <t xml:space="preserve">LOS PROCESOS DE PLANEACIÓN ESTRATEGICA Y DE GESTIÓN, DEBEN ESTAR DIRECCIONADOS DESDE LA ALTA DIRECCIÓN. 3.SE REQUIERE QUE EL EQUIPO MECI CONFORMADO EN LA ENTIDAD, TENGA MAYOR OPERATIVIDAD.  </t>
    </r>
    <r>
      <rPr>
        <b/>
        <sz val="12"/>
        <color theme="1"/>
        <rFont val="Arial"/>
        <family val="2"/>
      </rPr>
      <t xml:space="preserve">FORTALEZAS: </t>
    </r>
    <r>
      <rPr>
        <sz val="12"/>
        <color theme="1"/>
        <rFont val="Arial"/>
        <family val="2"/>
      </rPr>
      <t>1</t>
    </r>
    <r>
      <rPr>
        <b/>
        <sz val="12"/>
        <color theme="1"/>
        <rFont val="Arial"/>
        <family val="2"/>
      </rPr>
      <t xml:space="preserve">. </t>
    </r>
    <r>
      <rPr>
        <sz val="12"/>
        <color theme="1"/>
        <rFont val="Arial"/>
        <family val="2"/>
      </rPr>
      <t xml:space="preserve">LA OFICINA DE CONTROL INTERNO DE LA ESE HOSPITAL REGIONAL CENTRO,   EN CUMPLIMIENTO DEL PLAN ANUAL DE AUDITORIAS  2024, APROBADO POR EL COMITE INSTITUCIONAL DE COORDINACIÓN DE CONTROL INTERNO,  REALIZO LAS AUDITORIAS DE LEY,  AUDITORIAS ESPECIALES,  ACOMPAÑAMIENTO EN TEMAS ESPECIFICOS, Y AUDITORIAS A PROCESOS Y PROCEDIMIENTOS. 2. REALIZO SEGUIMIENTO A LOS PLANES DE MEJORAMIENTO INTERNOS Y EXTERNOS SUSCRITOS POR LA ENTIDAD CON LA CONTRALORÍA GENERAL DE DEPARTEMENTO NORTE DE SANTANDER. 2. EN LA EVALUACIÓN INDEPENDIENTE DEL SISTEMA DE CONTROL INTERNO, Y EN EL CRONOGRAMA ANUAL DE AUDITORIAS INTERNAS, SE EFECTUO SEGUIMIENTO Y EVALUACIÓN PERMANENTE A LOS  RESULTADOS DE LAS AUDITORIAS INTERNAS Y EXTERNAS , VERIFICANDO LA IMPLEMENTACIÓN DE ACCIONES DE MEJORA , PARA SUBSANAR LAS NO CONFORMIDADES EVIDENCIADAS EN LAS AUDITORIAS.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</si>
</sst>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0" x14ac:knownFonts="1">
    <font>
      <sz val="11"/>
      <color theme="1"/>
      <name val="Calibri"/>
      <family val="2"/>
      <scheme val="minor"/>
    </font>
    <font>
      <sz val="11"/>
      <name val="Arial"/>
      <family val="2"/>
    </font>
    <font>
      <b/>
      <sz val="12"/>
      <name val="Arial"/>
      <family val="2"/>
    </font>
    <font>
      <sz val="11"/>
      <color theme="1"/>
      <name val="Calibri"/>
      <family val="2"/>
      <scheme val="minor"/>
    </font>
    <font>
      <sz val="11"/>
      <color theme="0"/>
      <name val="Calibri"/>
      <family val="2"/>
      <scheme val="minor"/>
    </font>
    <font>
      <b/>
      <sz val="12"/>
      <color theme="0"/>
      <name val="Arial"/>
      <family val="2"/>
    </font>
    <font>
      <b/>
      <sz val="20"/>
      <color theme="0"/>
      <name val="Arial Narrow"/>
      <family val="2"/>
    </font>
    <font>
      <sz val="11"/>
      <color theme="1"/>
      <name val="Arial Narrow"/>
      <family val="2"/>
    </font>
    <font>
      <sz val="11"/>
      <color theme="0"/>
      <name val="Arial Narrow"/>
      <family val="2"/>
    </font>
    <font>
      <b/>
      <sz val="18"/>
      <color theme="0"/>
      <name val="Arial"/>
      <family val="2"/>
    </font>
    <font>
      <sz val="20"/>
      <color rgb="FFFF0000"/>
      <name val="Arial"/>
      <family val="2"/>
    </font>
    <font>
      <b/>
      <sz val="12"/>
      <color rgb="FFFF0000"/>
      <name val="Arial"/>
      <family val="2"/>
    </font>
    <font>
      <b/>
      <sz val="10"/>
      <color rgb="FFFF0000"/>
      <name val="Arial"/>
      <family val="2"/>
    </font>
    <font>
      <b/>
      <sz val="10"/>
      <color theme="1"/>
      <name val="Arial"/>
      <family val="2"/>
    </font>
    <font>
      <b/>
      <sz val="16"/>
      <color theme="1"/>
      <name val="Arial"/>
      <family val="2"/>
    </font>
    <font>
      <b/>
      <i/>
      <sz val="10"/>
      <name val="Arial"/>
      <family val="2"/>
    </font>
    <font>
      <b/>
      <i/>
      <sz val="10"/>
      <color theme="1"/>
      <name val="Arial"/>
      <family val="2"/>
    </font>
    <font>
      <b/>
      <sz val="16"/>
      <color theme="0"/>
      <name val="Arial Narrow"/>
      <family val="2"/>
    </font>
    <font>
      <b/>
      <sz val="12"/>
      <color theme="0"/>
      <name val="Arial Narrow"/>
      <family val="2"/>
    </font>
    <font>
      <b/>
      <sz val="10"/>
      <color theme="0"/>
      <name val="Arial Narrow"/>
      <family val="2"/>
    </font>
    <font>
      <sz val="12"/>
      <color theme="1"/>
      <name val="Arial"/>
      <family val="2"/>
    </font>
    <font>
      <sz val="10"/>
      <color theme="1"/>
      <name val="Calibri"/>
      <family val="2"/>
      <scheme val="minor"/>
    </font>
    <font>
      <sz val="10"/>
      <color theme="0"/>
      <name val="Arial Narrow"/>
      <family val="2"/>
    </font>
    <font>
      <sz val="14"/>
      <color theme="0"/>
      <name val="Arial"/>
      <family val="2"/>
    </font>
    <font>
      <sz val="10"/>
      <color theme="1"/>
      <name val="Arial Narrow"/>
      <family val="2"/>
    </font>
    <font>
      <b/>
      <sz val="11"/>
      <name val="Arial Narrow"/>
      <family val="2"/>
    </font>
    <font>
      <sz val="10"/>
      <name val="Arial Narrow"/>
      <family val="2"/>
    </font>
    <font>
      <sz val="16"/>
      <color theme="0"/>
      <name val="Calibri"/>
      <family val="2"/>
      <scheme val="minor"/>
    </font>
    <font>
      <b/>
      <sz val="18"/>
      <name val="Calibri"/>
      <family val="2"/>
      <scheme val="minor"/>
    </font>
    <font>
      <sz val="10"/>
      <name val="Arial"/>
      <family val="2"/>
    </font>
    <font>
      <b/>
      <sz val="14"/>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sz val="11"/>
      <name val="Arial Narrow"/>
      <family val="2"/>
    </font>
    <font>
      <b/>
      <sz val="10"/>
      <color theme="1"/>
      <name val="Arial Narrow"/>
      <family val="2"/>
    </font>
    <font>
      <sz val="15"/>
      <name val="Arial Narrow"/>
      <family val="2"/>
    </font>
    <font>
      <sz val="15"/>
      <color theme="1"/>
      <name val="Arial Narrow"/>
      <family val="2"/>
    </font>
    <font>
      <sz val="8"/>
      <name val="Calibri"/>
      <family val="2"/>
      <scheme val="minor"/>
    </font>
    <font>
      <b/>
      <sz val="18"/>
      <color theme="1"/>
      <name val="Calibri"/>
      <family val="2"/>
      <scheme val="minor"/>
    </font>
    <font>
      <b/>
      <sz val="20"/>
      <name val="Arial"/>
      <family val="2"/>
    </font>
    <font>
      <sz val="18"/>
      <name val="Arial Narrow"/>
      <family val="2"/>
    </font>
    <font>
      <sz val="12"/>
      <color theme="0"/>
      <name val="Arial Narrow"/>
      <family val="2"/>
    </font>
    <font>
      <b/>
      <sz val="14"/>
      <color theme="0"/>
      <name val="Arial Narrow"/>
      <family val="2"/>
    </font>
    <font>
      <sz val="12"/>
      <name val="Arial Narrow"/>
      <family val="2"/>
    </font>
    <font>
      <sz val="12"/>
      <color theme="1"/>
      <name val="Arial Narrow"/>
      <family val="2"/>
    </font>
    <font>
      <sz val="14"/>
      <color theme="1"/>
      <name val="Calibri"/>
      <family val="2"/>
      <scheme val="minor"/>
    </font>
    <font>
      <b/>
      <sz val="14"/>
      <name val="Arial"/>
      <family val="2"/>
    </font>
    <font>
      <sz val="18"/>
      <color theme="1"/>
      <name val="Arial"/>
      <family val="2"/>
    </font>
    <font>
      <b/>
      <sz val="24"/>
      <color theme="0"/>
      <name val="Arial Narrow"/>
      <family val="2"/>
    </font>
    <font>
      <b/>
      <sz val="20"/>
      <color theme="0"/>
      <name val="Arial"/>
      <family val="2"/>
    </font>
    <font>
      <sz val="20"/>
      <color theme="1"/>
      <name val="Calibri"/>
      <family val="2"/>
      <scheme val="minor"/>
    </font>
    <font>
      <b/>
      <u/>
      <sz val="20"/>
      <color theme="0"/>
      <name val="Arial"/>
      <family val="2"/>
    </font>
    <font>
      <sz val="25"/>
      <color theme="1"/>
      <name val="Calibri"/>
      <family val="2"/>
      <scheme val="minor"/>
    </font>
    <font>
      <sz val="25"/>
      <color theme="1"/>
      <name val="Arial Narrow"/>
      <family val="2"/>
    </font>
    <font>
      <sz val="12"/>
      <name val="Arial"/>
      <family val="2"/>
    </font>
    <font>
      <b/>
      <sz val="12"/>
      <color theme="1"/>
      <name val="Arial"/>
      <family val="2"/>
    </font>
    <font>
      <sz val="18"/>
      <color theme="1"/>
      <name val="Arial Narrow"/>
      <family val="2"/>
    </font>
  </fonts>
  <fills count="17">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9" tint="0.39997558519241921"/>
        <bgColor indexed="64"/>
      </patternFill>
    </fill>
  </fills>
  <borders count="97">
    <border>
      <left/>
      <right/>
      <top/>
      <bottom/>
      <diagonal/>
    </border>
    <border>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auto="1"/>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medium">
        <color indexed="64"/>
      </top>
      <bottom style="thin">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9" fontId="3" fillId="0" borderId="0" applyFont="0" applyFill="0" applyBorder="0" applyAlignment="0" applyProtection="0"/>
    <xf numFmtId="0" fontId="21" fillId="0" borderId="0"/>
    <xf numFmtId="0" fontId="29" fillId="0" borderId="0"/>
    <xf numFmtId="0" fontId="33" fillId="0" borderId="0"/>
  </cellStyleXfs>
  <cellXfs count="334">
    <xf numFmtId="0" fontId="0" fillId="0" borderId="0" xfId="0"/>
    <xf numFmtId="0" fontId="0" fillId="4" borderId="0" xfId="0" applyFill="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0" fillId="4" borderId="0" xfId="0" applyFill="1" applyBorder="1"/>
    <xf numFmtId="0" fontId="7" fillId="4" borderId="0" xfId="0" applyFont="1" applyFill="1" applyBorder="1" applyAlignment="1">
      <alignment horizontal="center"/>
    </xf>
    <xf numFmtId="0" fontId="0" fillId="4" borderId="21" xfId="0" applyFill="1" applyBorder="1"/>
    <xf numFmtId="164" fontId="7" fillId="4" borderId="0" xfId="0" applyNumberFormat="1" applyFont="1" applyFill="1" applyBorder="1" applyAlignment="1">
      <alignment horizontal="center"/>
    </xf>
    <xf numFmtId="0" fontId="8" fillId="4" borderId="0" xfId="0" applyFont="1" applyFill="1" applyBorder="1" applyAlignment="1">
      <alignment vertical="center"/>
    </xf>
    <xf numFmtId="0" fontId="10" fillId="4" borderId="0" xfId="0" applyFont="1" applyFill="1" applyBorder="1" applyAlignment="1">
      <alignment horizontal="center" vertical="center"/>
    </xf>
    <xf numFmtId="0" fontId="11" fillId="4" borderId="0" xfId="0" applyFont="1" applyFill="1" applyBorder="1"/>
    <xf numFmtId="0" fontId="9" fillId="4" borderId="0"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0" xfId="0" applyFont="1" applyFill="1" applyBorder="1" applyAlignment="1">
      <alignment horizontal="center" vertical="center"/>
    </xf>
    <xf numFmtId="0" fontId="12" fillId="4" borderId="0" xfId="0" applyFont="1" applyFill="1" applyBorder="1" applyAlignment="1">
      <alignment wrapText="1"/>
    </xf>
    <xf numFmtId="0" fontId="13" fillId="4" borderId="0" xfId="0" applyFont="1" applyFill="1" applyAlignment="1">
      <alignment wrapText="1"/>
    </xf>
    <xf numFmtId="0" fontId="0" fillId="0" borderId="0" xfId="0" applyBorder="1"/>
    <xf numFmtId="0" fontId="5" fillId="0" borderId="0" xfId="0" applyFont="1" applyFill="1" applyBorder="1" applyAlignment="1">
      <alignment vertical="center"/>
    </xf>
    <xf numFmtId="9" fontId="2" fillId="0" borderId="0" xfId="0" applyNumberFormat="1" applyFont="1" applyFill="1" applyBorder="1" applyAlignment="1">
      <alignment vertical="center"/>
    </xf>
    <xf numFmtId="0" fontId="2" fillId="4" borderId="21" xfId="0" applyFont="1" applyFill="1" applyBorder="1" applyAlignment="1">
      <alignment vertical="center"/>
    </xf>
    <xf numFmtId="0" fontId="2" fillId="4" borderId="0" xfId="0" applyFont="1" applyFill="1" applyBorder="1" applyAlignment="1">
      <alignment vertical="center"/>
    </xf>
    <xf numFmtId="0" fontId="0" fillId="0" borderId="0" xfId="0" applyFill="1" applyBorder="1"/>
    <xf numFmtId="0" fontId="0" fillId="0" borderId="3" xfId="0" applyBorder="1"/>
    <xf numFmtId="0" fontId="5" fillId="4" borderId="0" xfId="0" applyFont="1" applyFill="1" applyBorder="1" applyAlignment="1">
      <alignment vertical="center"/>
    </xf>
    <xf numFmtId="0" fontId="2" fillId="4" borderId="0" xfId="0" applyFont="1" applyFill="1" applyBorder="1" applyAlignment="1">
      <alignment horizontal="left" vertical="center"/>
    </xf>
    <xf numFmtId="0" fontId="15" fillId="4" borderId="0" xfId="0" applyFont="1" applyFill="1" applyBorder="1" applyAlignment="1">
      <alignment vertical="center"/>
    </xf>
    <xf numFmtId="0" fontId="16" fillId="4" borderId="0" xfId="0" applyFont="1" applyFill="1" applyBorder="1"/>
    <xf numFmtId="0" fontId="0" fillId="4" borderId="34" xfId="0" applyFill="1" applyBorder="1"/>
    <xf numFmtId="0" fontId="0" fillId="4" borderId="35" xfId="0" applyFill="1" applyBorder="1"/>
    <xf numFmtId="0" fontId="0" fillId="4" borderId="36" xfId="0" applyFill="1" applyBorder="1"/>
    <xf numFmtId="0" fontId="20" fillId="0" borderId="0" xfId="0" applyFont="1" applyBorder="1" applyAlignment="1">
      <alignment horizontal="center" wrapText="1"/>
    </xf>
    <xf numFmtId="0" fontId="5" fillId="4" borderId="0" xfId="0" applyFont="1" applyFill="1" applyBorder="1" applyAlignment="1">
      <alignment horizontal="center" vertical="center" wrapText="1"/>
    </xf>
    <xf numFmtId="0" fontId="4" fillId="4" borderId="0" xfId="0" applyFont="1" applyFill="1" applyBorder="1"/>
    <xf numFmtId="0" fontId="5" fillId="4" borderId="0" xfId="0" applyFont="1" applyFill="1" applyBorder="1" applyAlignment="1">
      <alignment horizontal="left" vertical="center"/>
    </xf>
    <xf numFmtId="9" fontId="5" fillId="4" borderId="0" xfId="0" applyNumberFormat="1" applyFont="1" applyFill="1" applyBorder="1" applyAlignment="1">
      <alignment horizontal="center" vertical="center"/>
    </xf>
    <xf numFmtId="0" fontId="4" fillId="4" borderId="0" xfId="0" applyFont="1" applyFill="1" applyBorder="1" applyAlignment="1">
      <alignment horizontal="left"/>
    </xf>
    <xf numFmtId="0" fontId="22" fillId="0" borderId="0" xfId="2" applyFont="1" applyFill="1" applyAlignment="1" applyProtection="1">
      <alignment vertical="center"/>
      <protection locked="0"/>
    </xf>
    <xf numFmtId="49" fontId="24" fillId="4" borderId="0" xfId="2" applyNumberFormat="1" applyFont="1" applyFill="1" applyAlignment="1" applyProtection="1">
      <alignment vertical="center"/>
      <protection locked="0"/>
    </xf>
    <xf numFmtId="0" fontId="24" fillId="4" borderId="0" xfId="2" applyFont="1" applyFill="1" applyAlignment="1" applyProtection="1">
      <alignment vertical="center"/>
      <protection locked="0"/>
    </xf>
    <xf numFmtId="9" fontId="26" fillId="4" borderId="0" xfId="2" applyNumberFormat="1" applyFont="1" applyFill="1" applyAlignment="1" applyProtection="1">
      <alignment vertical="center"/>
      <protection locked="0"/>
    </xf>
    <xf numFmtId="9" fontId="22" fillId="4" borderId="0" xfId="1" applyFont="1" applyFill="1" applyAlignment="1" applyProtection="1">
      <alignment vertical="center"/>
      <protection locked="0"/>
    </xf>
    <xf numFmtId="9" fontId="22" fillId="4" borderId="0" xfId="2" applyNumberFormat="1" applyFont="1" applyFill="1" applyAlignment="1" applyProtection="1">
      <alignment vertical="center"/>
      <protection locked="0"/>
    </xf>
    <xf numFmtId="0" fontId="26" fillId="4" borderId="0" xfId="2" applyFont="1" applyFill="1" applyAlignment="1" applyProtection="1">
      <alignment vertical="center"/>
      <protection locked="0"/>
    </xf>
    <xf numFmtId="0" fontId="26" fillId="0" borderId="0" xfId="3" applyFont="1" applyProtection="1"/>
    <xf numFmtId="0" fontId="7" fillId="4" borderId="0" xfId="0" applyFont="1" applyFill="1"/>
    <xf numFmtId="0" fontId="7" fillId="0" borderId="0" xfId="0" applyFont="1"/>
    <xf numFmtId="0" fontId="36" fillId="0" borderId="0" xfId="0" applyFont="1" applyAlignment="1">
      <alignment vertical="top"/>
    </xf>
    <xf numFmtId="49" fontId="36" fillId="0" borderId="0" xfId="0" applyNumberFormat="1" applyFont="1" applyAlignment="1">
      <alignment horizontal="center" vertical="top"/>
    </xf>
    <xf numFmtId="0" fontId="22" fillId="4" borderId="0" xfId="2" applyFont="1" applyFill="1" applyAlignment="1" applyProtection="1">
      <alignment vertical="center"/>
      <protection locked="0"/>
    </xf>
    <xf numFmtId="0" fontId="26" fillId="4" borderId="0" xfId="3" applyFont="1" applyFill="1" applyBorder="1" applyProtection="1"/>
    <xf numFmtId="0" fontId="26" fillId="4" borderId="59" xfId="3" applyFont="1" applyFill="1" applyBorder="1" applyAlignment="1" applyProtection="1">
      <alignment vertical="top" wrapText="1"/>
    </xf>
    <xf numFmtId="0" fontId="26" fillId="4" borderId="0" xfId="3" applyFont="1" applyFill="1" applyBorder="1" applyAlignment="1" applyProtection="1">
      <alignment vertical="top" wrapText="1"/>
    </xf>
    <xf numFmtId="0" fontId="26" fillId="4" borderId="60" xfId="3" applyFont="1" applyFill="1" applyBorder="1" applyAlignment="1" applyProtection="1">
      <alignment vertical="top" wrapText="1"/>
    </xf>
    <xf numFmtId="0" fontId="26" fillId="4" borderId="59" xfId="3" applyFont="1" applyFill="1" applyBorder="1" applyAlignment="1" applyProtection="1">
      <alignment horizontal="left" vertical="top"/>
    </xf>
    <xf numFmtId="0" fontId="26" fillId="4" borderId="60" xfId="3" applyFont="1" applyFill="1" applyBorder="1" applyAlignment="1" applyProtection="1">
      <alignment horizontal="left" vertical="top"/>
    </xf>
    <xf numFmtId="0" fontId="26" fillId="4" borderId="59" xfId="3" applyFont="1" applyFill="1" applyBorder="1" applyProtection="1"/>
    <xf numFmtId="0" fontId="34" fillId="4" borderId="0" xfId="4" applyFont="1" applyFill="1" applyBorder="1" applyAlignment="1" applyProtection="1">
      <alignment horizontal="left" vertical="top" wrapText="1" readingOrder="1"/>
    </xf>
    <xf numFmtId="0" fontId="26" fillId="4" borderId="60" xfId="3" applyFont="1" applyFill="1" applyBorder="1" applyProtection="1"/>
    <xf numFmtId="0" fontId="26" fillId="4" borderId="72" xfId="3" applyFont="1" applyFill="1" applyBorder="1" applyProtection="1"/>
    <xf numFmtId="0" fontId="26" fillId="4" borderId="73" xfId="3" applyFont="1" applyFill="1" applyBorder="1" applyProtection="1"/>
    <xf numFmtId="0" fontId="26" fillId="4" borderId="74" xfId="3" applyFont="1" applyFill="1" applyBorder="1" applyProtection="1"/>
    <xf numFmtId="0" fontId="34" fillId="4" borderId="0" xfId="0" applyFont="1" applyFill="1" applyBorder="1" applyAlignment="1" applyProtection="1">
      <alignment horizontal="left" vertical="center" wrapText="1"/>
    </xf>
    <xf numFmtId="0" fontId="35" fillId="4" borderId="0" xfId="0" applyFont="1" applyFill="1" applyBorder="1" applyAlignment="1" applyProtection="1">
      <alignment horizontal="left" vertical="top" wrapText="1"/>
    </xf>
    <xf numFmtId="0" fontId="26" fillId="4" borderId="0" xfId="3" quotePrefix="1" applyFont="1" applyFill="1" applyBorder="1" applyAlignment="1" applyProtection="1">
      <alignment horizontal="left" vertical="center" wrapText="1"/>
    </xf>
    <xf numFmtId="0" fontId="26" fillId="4" borderId="60" xfId="3" applyFont="1" applyFill="1" applyBorder="1" applyAlignment="1" applyProtection="1"/>
    <xf numFmtId="0" fontId="32" fillId="4" borderId="0" xfId="3" applyFont="1" applyFill="1" applyBorder="1" applyAlignment="1" applyProtection="1">
      <alignment horizontal="left" vertical="center" wrapText="1"/>
    </xf>
    <xf numFmtId="0" fontId="26" fillId="4" borderId="0" xfId="3" applyFont="1" applyFill="1" applyBorder="1" applyAlignment="1" applyProtection="1">
      <alignment horizontal="left" vertical="center" wrapText="1"/>
    </xf>
    <xf numFmtId="0" fontId="7" fillId="4" borderId="0" xfId="0" applyFont="1" applyFill="1" applyAlignment="1">
      <alignment vertical="center"/>
    </xf>
    <xf numFmtId="0" fontId="7" fillId="0" borderId="0" xfId="0" applyFont="1" applyAlignment="1">
      <alignment vertical="center"/>
    </xf>
    <xf numFmtId="0" fontId="8" fillId="4" borderId="0" xfId="0" applyFont="1" applyFill="1"/>
    <xf numFmtId="0" fontId="8" fillId="4" borderId="0" xfId="0" applyNumberFormat="1" applyFont="1" applyFill="1"/>
    <xf numFmtId="0" fontId="8" fillId="0" borderId="0" xfId="0" applyFont="1" applyAlignment="1">
      <alignment vertical="top"/>
    </xf>
    <xf numFmtId="0" fontId="8" fillId="0" borderId="0" xfId="0" applyNumberFormat="1" applyFont="1" applyAlignment="1">
      <alignment vertical="top"/>
    </xf>
    <xf numFmtId="0" fontId="8" fillId="0" borderId="0" xfId="0" applyNumberFormat="1" applyFont="1"/>
    <xf numFmtId="0" fontId="44" fillId="9" borderId="11" xfId="0" applyFont="1" applyFill="1" applyBorder="1" applyAlignment="1">
      <alignment horizontal="center" vertical="top" wrapText="1"/>
    </xf>
    <xf numFmtId="49" fontId="45" fillId="5" borderId="7" xfId="0" applyNumberFormat="1" applyFont="1" applyFill="1" applyBorder="1" applyAlignment="1">
      <alignment horizontal="center" vertical="center" wrapText="1"/>
    </xf>
    <xf numFmtId="0" fontId="45" fillId="5" borderId="7" xfId="0" applyFont="1" applyFill="1" applyBorder="1" applyAlignment="1">
      <alignment horizontal="center" vertical="center" wrapText="1"/>
    </xf>
    <xf numFmtId="0" fontId="45" fillId="5" borderId="10" xfId="0" applyFont="1" applyFill="1" applyBorder="1" applyAlignment="1">
      <alignment horizontal="center" vertical="center" wrapText="1"/>
    </xf>
    <xf numFmtId="0" fontId="45" fillId="5" borderId="5" xfId="0" applyFont="1" applyFill="1" applyBorder="1" applyAlignment="1">
      <alignment horizontal="center" vertical="center" wrapText="1"/>
    </xf>
    <xf numFmtId="0" fontId="46" fillId="0" borderId="2" xfId="0" applyFont="1" applyBorder="1" applyAlignment="1">
      <alignment horizontal="center" vertical="center" wrapText="1"/>
    </xf>
    <xf numFmtId="0" fontId="46" fillId="0" borderId="2" xfId="0" applyFont="1" applyBorder="1" applyAlignment="1">
      <alignment horizontal="left" vertical="center" wrapText="1"/>
    </xf>
    <xf numFmtId="0" fontId="46" fillId="0" borderId="3" xfId="0" applyFont="1" applyBorder="1" applyAlignment="1">
      <alignment horizontal="center" vertical="center" wrapText="1"/>
    </xf>
    <xf numFmtId="0" fontId="47" fillId="0" borderId="3" xfId="0" applyFont="1" applyFill="1" applyBorder="1" applyAlignment="1">
      <alignment horizontal="left" vertical="center" wrapText="1"/>
    </xf>
    <xf numFmtId="0" fontId="46" fillId="0" borderId="3" xfId="0" applyFont="1" applyBorder="1" applyAlignment="1">
      <alignment horizontal="left" vertical="center" wrapText="1"/>
    </xf>
    <xf numFmtId="0" fontId="46" fillId="0" borderId="4" xfId="0" applyFont="1" applyBorder="1" applyAlignment="1">
      <alignment horizontal="center" vertical="center" wrapText="1"/>
    </xf>
    <xf numFmtId="0" fontId="46" fillId="0" borderId="4" xfId="0" applyFont="1" applyBorder="1" applyAlignment="1">
      <alignment horizontal="left" vertical="center" wrapText="1"/>
    </xf>
    <xf numFmtId="0" fontId="46" fillId="0" borderId="3" xfId="0" applyFont="1" applyFill="1" applyBorder="1" applyAlignment="1">
      <alignment horizontal="center" vertical="center" wrapText="1"/>
    </xf>
    <xf numFmtId="0" fontId="46" fillId="0" borderId="2" xfId="0" applyFont="1" applyFill="1" applyBorder="1" applyAlignment="1">
      <alignment horizontal="left" vertical="center" wrapText="1"/>
    </xf>
    <xf numFmtId="0" fontId="9" fillId="13" borderId="3" xfId="0" applyFont="1" applyFill="1" applyBorder="1" applyAlignment="1">
      <alignment horizontal="center" vertical="center" wrapText="1"/>
    </xf>
    <xf numFmtId="0" fontId="50" fillId="0" borderId="0" xfId="0" applyFont="1" applyBorder="1" applyAlignment="1">
      <alignment horizontal="center" wrapText="1"/>
    </xf>
    <xf numFmtId="0" fontId="9" fillId="15"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11" borderId="3"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51" fillId="2" borderId="3" xfId="0" applyFont="1" applyFill="1" applyBorder="1" applyAlignment="1">
      <alignment horizontal="center" vertical="center"/>
    </xf>
    <xf numFmtId="0" fontId="42" fillId="0" borderId="3" xfId="0" applyFont="1" applyFill="1" applyBorder="1" applyAlignment="1">
      <alignment horizontal="center" vertical="center"/>
    </xf>
    <xf numFmtId="0" fontId="53" fillId="0" borderId="0" xfId="0" applyFont="1" applyBorder="1" applyAlignment="1">
      <alignment horizontal="center"/>
    </xf>
    <xf numFmtId="0" fontId="52" fillId="12" borderId="31"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25" fillId="4" borderId="0" xfId="2" applyNumberFormat="1" applyFont="1" applyFill="1" applyBorder="1" applyAlignment="1" applyProtection="1">
      <alignment vertical="center" wrapText="1"/>
    </xf>
    <xf numFmtId="0" fontId="35" fillId="4" borderId="0" xfId="2" applyFont="1" applyFill="1" applyBorder="1" applyAlignment="1" applyProtection="1">
      <alignment vertical="center" wrapText="1"/>
    </xf>
    <xf numFmtId="0" fontId="36" fillId="0" borderId="0" xfId="0" applyNumberFormat="1" applyFont="1" applyAlignment="1" applyProtection="1">
      <alignment horizontal="center" vertical="top"/>
      <protection hidden="1"/>
    </xf>
    <xf numFmtId="0" fontId="38" fillId="0" borderId="79" xfId="0" applyFont="1" applyBorder="1" applyAlignment="1" applyProtection="1">
      <alignment horizontal="center" vertical="center" wrapText="1"/>
      <protection hidden="1"/>
    </xf>
    <xf numFmtId="0" fontId="8" fillId="0" borderId="0" xfId="0" applyNumberFormat="1" applyFont="1" applyAlignment="1" applyProtection="1">
      <alignment horizontal="center" vertical="top"/>
      <protection hidden="1"/>
    </xf>
    <xf numFmtId="0" fontId="39" fillId="0" borderId="9" xfId="0" applyFont="1" applyFill="1" applyBorder="1" applyAlignment="1" applyProtection="1">
      <alignment horizontal="center" vertical="center" wrapText="1"/>
      <protection hidden="1"/>
    </xf>
    <xf numFmtId="49" fontId="8" fillId="0" borderId="0" xfId="0" applyNumberFormat="1" applyFont="1" applyAlignment="1" applyProtection="1">
      <alignment horizontal="center" vertical="top"/>
      <protection hidden="1"/>
    </xf>
    <xf numFmtId="0" fontId="38" fillId="0" borderId="9" xfId="0" applyFont="1" applyBorder="1" applyAlignment="1" applyProtection="1">
      <alignment horizontal="center" vertical="center" wrapText="1"/>
      <protection hidden="1"/>
    </xf>
    <xf numFmtId="0" fontId="38" fillId="0" borderId="80" xfId="0" applyFont="1" applyBorder="1" applyAlignment="1" applyProtection="1">
      <alignment horizontal="center" vertical="center" wrapText="1"/>
      <protection hidden="1"/>
    </xf>
    <xf numFmtId="0" fontId="8" fillId="0" borderId="0" xfId="0" applyNumberFormat="1" applyFont="1" applyAlignment="1" applyProtection="1">
      <alignment vertical="top"/>
      <protection hidden="1"/>
    </xf>
    <xf numFmtId="0" fontId="38" fillId="0" borderId="79" xfId="0" applyFont="1" applyFill="1" applyBorder="1" applyAlignment="1" applyProtection="1">
      <alignment horizontal="center" vertical="center" wrapText="1"/>
      <protection hidden="1"/>
    </xf>
    <xf numFmtId="0" fontId="43" fillId="0" borderId="2" xfId="0" applyFont="1" applyBorder="1" applyAlignment="1" applyProtection="1">
      <alignment horizontal="center" vertical="center" wrapText="1"/>
      <protection locked="0"/>
    </xf>
    <xf numFmtId="0" fontId="36" fillId="0" borderId="79" xfId="0" applyFont="1" applyBorder="1" applyAlignment="1" applyProtection="1">
      <alignment horizontal="left" vertical="center" wrapText="1"/>
      <protection locked="0"/>
    </xf>
    <xf numFmtId="0" fontId="43" fillId="0" borderId="3" xfId="0" applyFont="1" applyFill="1" applyBorder="1" applyAlignment="1" applyProtection="1">
      <alignment horizontal="center" vertical="center" wrapText="1"/>
      <protection locked="0"/>
    </xf>
    <xf numFmtId="0" fontId="7" fillId="0" borderId="9" xfId="0" applyFont="1" applyFill="1" applyBorder="1" applyAlignment="1" applyProtection="1">
      <alignment horizontal="left" vertical="center" wrapText="1"/>
      <protection locked="0"/>
    </xf>
    <xf numFmtId="0" fontId="43" fillId="0" borderId="3" xfId="0" applyFont="1" applyBorder="1" applyAlignment="1" applyProtection="1">
      <alignment horizontal="center" vertical="center" wrapText="1"/>
      <protection locked="0"/>
    </xf>
    <xf numFmtId="0" fontId="36" fillId="0" borderId="9" xfId="0" applyFont="1" applyBorder="1" applyAlignment="1" applyProtection="1">
      <alignment horizontal="left" vertical="center" wrapText="1"/>
      <protection locked="0"/>
    </xf>
    <xf numFmtId="0" fontId="43" fillId="0" borderId="4" xfId="0" applyFont="1" applyBorder="1" applyAlignment="1" applyProtection="1">
      <alignment horizontal="center" vertical="center" wrapText="1"/>
      <protection locked="0"/>
    </xf>
    <xf numFmtId="0" fontId="36" fillId="0" borderId="80" xfId="0" applyFont="1" applyBorder="1" applyAlignment="1" applyProtection="1">
      <alignment horizontal="left" vertical="center" wrapText="1"/>
      <protection locked="0"/>
    </xf>
    <xf numFmtId="0" fontId="43" fillId="0" borderId="2" xfId="0" applyFont="1" applyFill="1" applyBorder="1" applyAlignment="1" applyProtection="1">
      <alignment horizontal="center" vertical="center" wrapText="1"/>
      <protection locked="0"/>
    </xf>
    <xf numFmtId="0" fontId="36" fillId="0" borderId="79" xfId="0" applyFont="1" applyFill="1" applyBorder="1" applyAlignment="1" applyProtection="1">
      <alignment horizontal="left" vertical="center" wrapText="1"/>
      <protection locked="0"/>
    </xf>
    <xf numFmtId="0" fontId="19" fillId="2" borderId="82" xfId="2" applyFont="1" applyFill="1" applyBorder="1" applyAlignment="1" applyProtection="1">
      <alignment horizontal="center" vertical="center"/>
    </xf>
    <xf numFmtId="0" fontId="19" fillId="2" borderId="82" xfId="2" applyFont="1" applyFill="1" applyBorder="1" applyAlignment="1" applyProtection="1">
      <alignment horizontal="center" vertical="center" wrapText="1"/>
    </xf>
    <xf numFmtId="0" fontId="1" fillId="0" borderId="2" xfId="0" applyFont="1" applyBorder="1" applyAlignment="1" applyProtection="1">
      <alignment horizontal="left" vertical="center" wrapText="1"/>
      <protection hidden="1"/>
    </xf>
    <xf numFmtId="0" fontId="0" fillId="0" borderId="2" xfId="0" applyBorder="1" applyAlignment="1" applyProtection="1">
      <alignment horizontal="center" vertical="center"/>
      <protection hidden="1"/>
    </xf>
    <xf numFmtId="0" fontId="40" fillId="0" borderId="84" xfId="0" applyFont="1" applyFill="1" applyBorder="1" applyAlignment="1" applyProtection="1">
      <alignment vertical="center" wrapText="1"/>
      <protection hidden="1"/>
    </xf>
    <xf numFmtId="0" fontId="1" fillId="0" borderId="3" xfId="0" applyFont="1" applyBorder="1" applyAlignment="1" applyProtection="1">
      <alignment horizontal="left" vertical="center" wrapText="1"/>
      <protection hidden="1"/>
    </xf>
    <xf numFmtId="0" fontId="0" fillId="0" borderId="3" xfId="0" applyBorder="1" applyAlignment="1" applyProtection="1">
      <alignment horizontal="center" vertical="center"/>
      <protection hidden="1"/>
    </xf>
    <xf numFmtId="0" fontId="40" fillId="0" borderId="85" xfId="0" applyFont="1" applyFill="1" applyBorder="1" applyAlignment="1" applyProtection="1">
      <alignment vertical="center" wrapText="1"/>
      <protection hidden="1"/>
    </xf>
    <xf numFmtId="0" fontId="1" fillId="0" borderId="4" xfId="0" applyFont="1" applyBorder="1" applyAlignment="1" applyProtection="1">
      <alignment horizontal="left" vertical="center" wrapText="1"/>
      <protection hidden="1"/>
    </xf>
    <xf numFmtId="0" fontId="0" fillId="0" borderId="4" xfId="0" applyBorder="1" applyAlignment="1" applyProtection="1">
      <alignment horizontal="center" vertical="center"/>
      <protection hidden="1"/>
    </xf>
    <xf numFmtId="0" fontId="40" fillId="0" borderId="86" xfId="0" applyFont="1" applyFill="1" applyBorder="1" applyAlignment="1" applyProtection="1">
      <alignment vertical="center" wrapText="1"/>
      <protection hidden="1"/>
    </xf>
    <xf numFmtId="0" fontId="1" fillId="0" borderId="7" xfId="0" applyFont="1" applyBorder="1" applyAlignment="1" applyProtection="1">
      <alignment horizontal="left" vertical="center" wrapText="1"/>
      <protection hidden="1"/>
    </xf>
    <xf numFmtId="0" fontId="0" fillId="0" borderId="7" xfId="0" applyBorder="1" applyAlignment="1" applyProtection="1">
      <alignment horizontal="center" vertical="center"/>
      <protection hidden="1"/>
    </xf>
    <xf numFmtId="0" fontId="40" fillId="0" borderId="5" xfId="0" applyFont="1" applyFill="1" applyBorder="1" applyAlignment="1" applyProtection="1">
      <alignment vertical="center" wrapText="1"/>
      <protection hidden="1"/>
    </xf>
    <xf numFmtId="0" fontId="1" fillId="0" borderId="6" xfId="0" applyFont="1" applyBorder="1" applyAlignment="1" applyProtection="1">
      <alignment horizontal="left" vertical="center" wrapText="1"/>
      <protection hidden="1"/>
    </xf>
    <xf numFmtId="0" fontId="0" fillId="0" borderId="6" xfId="0" applyBorder="1" applyAlignment="1" applyProtection="1">
      <alignment horizontal="center" vertical="center"/>
      <protection hidden="1"/>
    </xf>
    <xf numFmtId="0" fontId="40" fillId="0" borderId="6" xfId="0" applyFont="1" applyFill="1" applyBorder="1" applyAlignment="1" applyProtection="1">
      <alignment vertical="center" wrapText="1"/>
      <protection hidden="1"/>
    </xf>
    <xf numFmtId="0" fontId="40" fillId="0" borderId="3" xfId="0" applyFont="1" applyFill="1" applyBorder="1" applyAlignment="1" applyProtection="1">
      <alignment vertical="center" wrapText="1"/>
      <protection hidden="1"/>
    </xf>
    <xf numFmtId="0" fontId="40" fillId="0" borderId="7" xfId="0" applyFont="1" applyFill="1" applyBorder="1" applyAlignment="1" applyProtection="1">
      <alignment vertical="center" wrapText="1"/>
      <protection hidden="1"/>
    </xf>
    <xf numFmtId="0" fontId="48" fillId="0" borderId="22" xfId="0" applyFont="1" applyBorder="1" applyAlignment="1" applyProtection="1">
      <alignment horizontal="center" vertical="center"/>
      <protection hidden="1"/>
    </xf>
    <xf numFmtId="9" fontId="0" fillId="0" borderId="90" xfId="0" applyNumberFormat="1" applyBorder="1" applyAlignment="1" applyProtection="1">
      <alignment horizontal="center" vertical="center"/>
      <protection hidden="1"/>
    </xf>
    <xf numFmtId="9" fontId="0" fillId="0" borderId="91" xfId="0" applyNumberFormat="1" applyBorder="1" applyAlignment="1" applyProtection="1">
      <alignment horizontal="center" vertical="center"/>
      <protection hidden="1"/>
    </xf>
    <xf numFmtId="9" fontId="0" fillId="0" borderId="92" xfId="0" applyNumberFormat="1" applyBorder="1" applyAlignment="1" applyProtection="1">
      <alignment horizontal="center" vertical="center"/>
      <protection hidden="1"/>
    </xf>
    <xf numFmtId="9" fontId="0" fillId="0" borderId="93" xfId="0" applyNumberFormat="1" applyBorder="1" applyAlignment="1" applyProtection="1">
      <alignment horizontal="center" vertical="center"/>
      <protection hidden="1"/>
    </xf>
    <xf numFmtId="9" fontId="0" fillId="0" borderId="6" xfId="0" applyNumberFormat="1" applyBorder="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9" fontId="0" fillId="0" borderId="7" xfId="0" applyNumberFormat="1" applyBorder="1" applyAlignment="1" applyProtection="1">
      <alignment horizontal="center" vertical="center"/>
      <protection hidden="1"/>
    </xf>
    <xf numFmtId="9" fontId="42" fillId="2" borderId="26" xfId="0" applyNumberFormat="1" applyFont="1" applyFill="1" applyBorder="1" applyAlignment="1" applyProtection="1">
      <alignment horizontal="center" vertical="center"/>
      <protection hidden="1"/>
    </xf>
    <xf numFmtId="0" fontId="42" fillId="0" borderId="3" xfId="0" applyFont="1" applyFill="1" applyBorder="1" applyAlignment="1" applyProtection="1">
      <alignment horizontal="center" vertical="center"/>
      <protection hidden="1"/>
    </xf>
    <xf numFmtId="9" fontId="14" fillId="14" borderId="3" xfId="0" applyNumberFormat="1" applyFont="1" applyFill="1" applyBorder="1" applyAlignment="1" applyProtection="1">
      <alignment horizontal="center" vertical="center"/>
      <protection hidden="1"/>
    </xf>
    <xf numFmtId="49" fontId="55" fillId="4" borderId="2" xfId="0" applyNumberFormat="1" applyFont="1" applyFill="1" applyBorder="1" applyAlignment="1" applyProtection="1">
      <alignment horizontal="center" vertical="center" wrapText="1"/>
      <protection locked="0"/>
    </xf>
    <xf numFmtId="49" fontId="55" fillId="4" borderId="3" xfId="0" applyNumberFormat="1" applyFont="1" applyFill="1" applyBorder="1" applyAlignment="1" applyProtection="1">
      <alignment horizontal="center" vertical="center" wrapText="1"/>
      <protection locked="0"/>
    </xf>
    <xf numFmtId="49" fontId="55" fillId="4" borderId="4" xfId="0" applyNumberFormat="1" applyFont="1" applyFill="1" applyBorder="1" applyAlignment="1" applyProtection="1">
      <alignment horizontal="center" vertical="center" wrapText="1"/>
      <protection locked="0"/>
    </xf>
    <xf numFmtId="49" fontId="18" fillId="5" borderId="7" xfId="0" applyNumberFormat="1" applyFont="1" applyFill="1" applyBorder="1" applyAlignment="1" applyProtection="1">
      <alignment horizontal="center" vertical="center" wrapText="1"/>
      <protection hidden="1"/>
    </xf>
    <xf numFmtId="0" fontId="18" fillId="5" borderId="7" xfId="0" applyFont="1" applyFill="1" applyBorder="1" applyAlignment="1" applyProtection="1">
      <alignment horizontal="center" vertical="center" wrapText="1"/>
      <protection hidden="1"/>
    </xf>
    <xf numFmtId="0" fontId="18" fillId="5" borderId="10" xfId="0" applyFont="1" applyFill="1" applyBorder="1" applyAlignment="1" applyProtection="1">
      <alignment horizontal="center" vertical="center" wrapText="1"/>
      <protection hidden="1"/>
    </xf>
    <xf numFmtId="0" fontId="18" fillId="5" borderId="81" xfId="0" applyFont="1" applyFill="1" applyBorder="1"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10" fontId="0" fillId="0" borderId="0" xfId="1" applyNumberFormat="1" applyFont="1" applyProtection="1">
      <protection hidden="1"/>
    </xf>
    <xf numFmtId="49" fontId="44" fillId="9" borderId="14" xfId="0" applyNumberFormat="1" applyFont="1" applyFill="1" applyBorder="1" applyAlignment="1">
      <alignment horizontal="center" vertical="center" wrapText="1"/>
    </xf>
    <xf numFmtId="49" fontId="44" fillId="9" borderId="11" xfId="0" applyNumberFormat="1" applyFont="1" applyFill="1" applyBorder="1" applyAlignment="1">
      <alignment horizontal="center" vertical="center" wrapText="1"/>
    </xf>
    <xf numFmtId="0" fontId="43" fillId="4" borderId="4" xfId="0" applyFont="1" applyFill="1" applyBorder="1" applyAlignment="1" applyProtection="1">
      <alignment horizontal="center" vertical="center" wrapText="1"/>
      <protection locked="0"/>
    </xf>
    <xf numFmtId="0" fontId="43" fillId="4" borderId="3" xfId="0" applyFont="1" applyFill="1" applyBorder="1" applyAlignment="1" applyProtection="1">
      <alignment horizontal="center" vertical="center" wrapText="1"/>
      <protection locked="0"/>
    </xf>
    <xf numFmtId="0" fontId="59" fillId="0" borderId="3" xfId="0" applyFont="1" applyBorder="1" applyAlignment="1" applyProtection="1">
      <alignment horizontal="center" vertical="center" wrapText="1"/>
      <protection locked="0"/>
    </xf>
    <xf numFmtId="0" fontId="26" fillId="4" borderId="59" xfId="3" applyFont="1" applyFill="1" applyBorder="1" applyAlignment="1" applyProtection="1">
      <alignment horizontal="left" vertical="top" wrapText="1"/>
    </xf>
    <xf numFmtId="0" fontId="26" fillId="4" borderId="0" xfId="3" applyFont="1" applyFill="1" applyBorder="1" applyAlignment="1" applyProtection="1">
      <alignment horizontal="left" vertical="top" wrapText="1"/>
    </xf>
    <xf numFmtId="0" fontId="26" fillId="4" borderId="60" xfId="3" applyFont="1" applyFill="1" applyBorder="1" applyAlignment="1" applyProtection="1">
      <alignment horizontal="left" vertical="top" wrapText="1"/>
    </xf>
    <xf numFmtId="0" fontId="26" fillId="4" borderId="0" xfId="3" applyFont="1" applyFill="1" applyBorder="1" applyAlignment="1" applyProtection="1"/>
    <xf numFmtId="0" fontId="34" fillId="4" borderId="77" xfId="0" applyFont="1" applyFill="1" applyBorder="1" applyAlignment="1" applyProtection="1">
      <alignment horizontal="left" vertical="center" wrapText="1"/>
    </xf>
    <xf numFmtId="0" fontId="34" fillId="4" borderId="78" xfId="0" applyFont="1" applyFill="1" applyBorder="1" applyAlignment="1" applyProtection="1">
      <alignment horizontal="left" vertical="center" wrapText="1"/>
    </xf>
    <xf numFmtId="0" fontId="35" fillId="0" borderId="69" xfId="3" applyFont="1" applyFill="1" applyBorder="1" applyAlignment="1" applyProtection="1">
      <alignment horizontal="left" vertical="center" wrapText="1"/>
    </xf>
    <xf numFmtId="0" fontId="35" fillId="0" borderId="70" xfId="3" applyFont="1" applyFill="1" applyBorder="1" applyAlignment="1" applyProtection="1">
      <alignment horizontal="left" vertical="center" wrapText="1"/>
    </xf>
    <xf numFmtId="0" fontId="17" fillId="2" borderId="44" xfId="2" applyNumberFormat="1" applyFont="1" applyFill="1" applyBorder="1" applyAlignment="1" applyProtection="1">
      <alignment horizontal="center" vertical="center" wrapText="1"/>
    </xf>
    <xf numFmtId="0" fontId="17" fillId="2" borderId="45" xfId="2" applyNumberFormat="1" applyFont="1" applyFill="1" applyBorder="1" applyAlignment="1" applyProtection="1">
      <alignment horizontal="center" vertical="center" wrapText="1"/>
    </xf>
    <xf numFmtId="0" fontId="25" fillId="7" borderId="50" xfId="2" applyNumberFormat="1" applyFont="1" applyFill="1" applyBorder="1" applyAlignment="1" applyProtection="1">
      <alignment horizontal="center" vertical="center"/>
    </xf>
    <xf numFmtId="0" fontId="25" fillId="7" borderId="51" xfId="2" applyNumberFormat="1" applyFont="1" applyFill="1" applyBorder="1" applyAlignment="1" applyProtection="1">
      <alignment horizontal="center" vertical="center"/>
    </xf>
    <xf numFmtId="0" fontId="26" fillId="0" borderId="56" xfId="2" applyFont="1" applyFill="1" applyBorder="1" applyAlignment="1" applyProtection="1">
      <alignment horizontal="justify" vertical="center" wrapText="1"/>
    </xf>
    <xf numFmtId="0" fontId="26" fillId="0" borderId="57" xfId="2" applyFont="1" applyFill="1" applyBorder="1" applyAlignment="1" applyProtection="1">
      <alignment horizontal="justify" vertical="center" wrapText="1"/>
    </xf>
    <xf numFmtId="0" fontId="25" fillId="8" borderId="52" xfId="2" applyNumberFormat="1" applyFont="1" applyFill="1" applyBorder="1" applyAlignment="1" applyProtection="1">
      <alignment horizontal="center" vertical="center" wrapText="1"/>
    </xf>
    <xf numFmtId="0" fontId="25" fillId="8" borderId="53" xfId="2" applyNumberFormat="1" applyFont="1" applyFill="1" applyBorder="1" applyAlignment="1" applyProtection="1">
      <alignment horizontal="center" vertical="center"/>
    </xf>
    <xf numFmtId="0" fontId="26" fillId="0" borderId="53" xfId="2" applyFont="1" applyFill="1" applyBorder="1" applyAlignment="1" applyProtection="1">
      <alignment horizontal="justify" vertical="center" wrapText="1"/>
    </xf>
    <xf numFmtId="0" fontId="26" fillId="0" borderId="54" xfId="2" applyFont="1" applyFill="1" applyBorder="1" applyAlignment="1" applyProtection="1">
      <alignment horizontal="justify" vertical="center" wrapText="1"/>
    </xf>
    <xf numFmtId="0" fontId="37" fillId="4" borderId="71" xfId="2" applyNumberFormat="1" applyFont="1" applyFill="1" applyBorder="1" applyAlignment="1" applyProtection="1">
      <alignment horizontal="center" vertical="center" wrapText="1"/>
    </xf>
    <xf numFmtId="0" fontId="24" fillId="4" borderId="71" xfId="2" applyFont="1" applyFill="1" applyBorder="1" applyAlignment="1" applyProtection="1">
      <alignment horizontal="center" vertical="center" wrapText="1"/>
    </xf>
    <xf numFmtId="0" fontId="17" fillId="2" borderId="46" xfId="2" applyNumberFormat="1" applyFont="1" applyFill="1" applyBorder="1" applyAlignment="1" applyProtection="1">
      <alignment horizontal="center" vertical="center" wrapText="1"/>
    </xf>
    <xf numFmtId="0" fontId="25" fillId="14" borderId="47" xfId="2" applyNumberFormat="1" applyFont="1" applyFill="1" applyBorder="1" applyAlignment="1" applyProtection="1">
      <alignment horizontal="center" vertical="center"/>
    </xf>
    <xf numFmtId="0" fontId="25" fillId="14" borderId="48" xfId="2" applyNumberFormat="1" applyFont="1" applyFill="1" applyBorder="1" applyAlignment="1" applyProtection="1">
      <alignment horizontal="center" vertical="center"/>
    </xf>
    <xf numFmtId="0" fontId="26" fillId="0" borderId="48" xfId="2" applyFont="1" applyFill="1" applyBorder="1" applyAlignment="1" applyProtection="1">
      <alignment horizontal="justify" vertical="center" wrapText="1"/>
    </xf>
    <xf numFmtId="0" fontId="26" fillId="0" borderId="49" xfId="2" applyFont="1" applyFill="1" applyBorder="1" applyAlignment="1" applyProtection="1">
      <alignment horizontal="justify" vertical="center" wrapText="1"/>
    </xf>
    <xf numFmtId="0" fontId="34" fillId="4" borderId="75" xfId="4" applyFont="1" applyFill="1" applyBorder="1" applyAlignment="1" applyProtection="1">
      <alignment horizontal="left" vertical="center" wrapText="1" readingOrder="1"/>
    </xf>
    <xf numFmtId="0" fontId="34" fillId="4" borderId="76" xfId="4" applyFont="1" applyFill="1" applyBorder="1" applyAlignment="1" applyProtection="1">
      <alignment horizontal="left" vertical="center" wrapText="1" readingOrder="1"/>
    </xf>
    <xf numFmtId="0" fontId="35" fillId="0" borderId="65" xfId="3" applyFont="1" applyFill="1" applyBorder="1" applyAlignment="1" applyProtection="1">
      <alignment horizontal="left" vertical="center" wrapText="1"/>
    </xf>
    <xf numFmtId="0" fontId="35" fillId="0" borderId="66" xfId="3" applyFont="1" applyFill="1" applyBorder="1" applyAlignment="1" applyProtection="1">
      <alignment horizontal="left" vertical="center" wrapText="1"/>
    </xf>
    <xf numFmtId="0" fontId="34" fillId="4" borderId="67" xfId="0" applyFont="1" applyFill="1" applyBorder="1" applyAlignment="1" applyProtection="1">
      <alignment horizontal="left" vertical="center" wrapText="1"/>
    </xf>
    <xf numFmtId="0" fontId="34" fillId="4" borderId="68" xfId="0" applyFont="1" applyFill="1" applyBorder="1" applyAlignment="1" applyProtection="1">
      <alignment horizontal="left" vertical="center" wrapText="1"/>
    </xf>
    <xf numFmtId="0" fontId="35" fillId="0" borderId="69" xfId="3" applyFont="1" applyFill="1" applyBorder="1" applyAlignment="1" applyProtection="1">
      <alignment horizontal="left" vertical="top" wrapText="1"/>
    </xf>
    <xf numFmtId="0" fontId="35" fillId="0" borderId="70" xfId="3" applyFont="1" applyFill="1" applyBorder="1" applyAlignment="1" applyProtection="1">
      <alignment horizontal="left" vertical="top" wrapText="1"/>
    </xf>
    <xf numFmtId="0" fontId="30" fillId="0" borderId="58" xfId="3" applyFont="1" applyBorder="1" applyAlignment="1" applyProtection="1">
      <alignment horizontal="center" vertical="center" wrapText="1"/>
    </xf>
    <xf numFmtId="0" fontId="30" fillId="0" borderId="55" xfId="3" applyFont="1" applyBorder="1" applyAlignment="1" applyProtection="1">
      <alignment horizontal="center" vertical="center" wrapText="1"/>
    </xf>
    <xf numFmtId="0" fontId="30" fillId="0" borderId="8" xfId="3" applyFont="1" applyBorder="1" applyAlignment="1" applyProtection="1">
      <alignment horizontal="center" vertical="center" wrapText="1"/>
    </xf>
    <xf numFmtId="0" fontId="26" fillId="0" borderId="59" xfId="3" quotePrefix="1" applyFont="1" applyBorder="1" applyAlignment="1" applyProtection="1">
      <alignment horizontal="left" vertical="center" wrapText="1"/>
    </xf>
    <xf numFmtId="0" fontId="26" fillId="0" borderId="0" xfId="3" quotePrefix="1" applyFont="1" applyBorder="1" applyAlignment="1" applyProtection="1">
      <alignment horizontal="left" vertical="center" wrapText="1"/>
    </xf>
    <xf numFmtId="0" fontId="26" fillId="0" borderId="60" xfId="3" quotePrefix="1" applyFont="1" applyBorder="1" applyAlignment="1" applyProtection="1">
      <alignment horizontal="left" vertical="center" wrapText="1"/>
    </xf>
    <xf numFmtId="0" fontId="31" fillId="4" borderId="59" xfId="3" quotePrefix="1" applyFont="1" applyFill="1" applyBorder="1" applyAlignment="1" applyProtection="1">
      <alignment horizontal="left" vertical="top" wrapText="1"/>
    </xf>
    <xf numFmtId="0" fontId="25" fillId="4" borderId="0" xfId="3" quotePrefix="1" applyFont="1" applyFill="1" applyBorder="1" applyAlignment="1" applyProtection="1">
      <alignment horizontal="left" vertical="top" wrapText="1"/>
    </xf>
    <xf numFmtId="0" fontId="25" fillId="4" borderId="60" xfId="3" quotePrefix="1" applyFont="1" applyFill="1" applyBorder="1" applyAlignment="1" applyProtection="1">
      <alignment horizontal="left" vertical="top" wrapText="1"/>
    </xf>
    <xf numFmtId="0" fontId="26" fillId="4" borderId="59" xfId="3" quotePrefix="1" applyFont="1" applyFill="1" applyBorder="1" applyAlignment="1" applyProtection="1">
      <alignment horizontal="left" vertical="top" wrapText="1"/>
    </xf>
    <xf numFmtId="0" fontId="26" fillId="4" borderId="0" xfId="3" quotePrefix="1" applyFont="1" applyFill="1" applyBorder="1" applyAlignment="1" applyProtection="1">
      <alignment horizontal="left" vertical="top" wrapText="1"/>
    </xf>
    <xf numFmtId="0" fontId="26" fillId="4" borderId="60" xfId="3" quotePrefix="1" applyFont="1" applyFill="1" applyBorder="1" applyAlignment="1" applyProtection="1">
      <alignment horizontal="left" vertical="top" wrapText="1"/>
    </xf>
    <xf numFmtId="0" fontId="34" fillId="16" borderId="61" xfId="4" applyFont="1" applyFill="1" applyBorder="1" applyAlignment="1" applyProtection="1">
      <alignment horizontal="center" vertical="center" wrapText="1"/>
    </xf>
    <xf numFmtId="0" fontId="34" fillId="16" borderId="62" xfId="4" applyFont="1" applyFill="1" applyBorder="1" applyAlignment="1" applyProtection="1">
      <alignment horizontal="center" vertical="center" wrapText="1"/>
    </xf>
    <xf numFmtId="0" fontId="34" fillId="16" borderId="63" xfId="3" applyFont="1" applyFill="1" applyBorder="1" applyAlignment="1" applyProtection="1">
      <alignment horizontal="center" vertical="center"/>
    </xf>
    <xf numFmtId="0" fontId="34" fillId="16" borderId="64" xfId="3" applyFont="1" applyFill="1" applyBorder="1" applyAlignment="1" applyProtection="1">
      <alignment horizontal="center" vertical="center"/>
    </xf>
    <xf numFmtId="49" fontId="45" fillId="5" borderId="0" xfId="0" applyNumberFormat="1" applyFont="1" applyFill="1" applyBorder="1" applyAlignment="1">
      <alignment horizontal="center" vertical="center"/>
    </xf>
    <xf numFmtId="0" fontId="44" fillId="11" borderId="11" xfId="0" applyFont="1" applyFill="1" applyBorder="1" applyAlignment="1">
      <alignment horizontal="center" vertical="center" wrapText="1"/>
    </xf>
    <xf numFmtId="0" fontId="44" fillId="11" borderId="12" xfId="0" applyFont="1" applyFill="1" applyBorder="1" applyAlignment="1">
      <alignment horizontal="center" vertical="center" wrapText="1"/>
    </xf>
    <xf numFmtId="0" fontId="44" fillId="11" borderId="13" xfId="0" applyFont="1" applyFill="1" applyBorder="1" applyAlignment="1">
      <alignment horizontal="center" vertical="center" wrapText="1"/>
    </xf>
    <xf numFmtId="49" fontId="44" fillId="11" borderId="14" xfId="0" applyNumberFormat="1" applyFont="1" applyFill="1" applyBorder="1" applyAlignment="1">
      <alignment horizontal="center" vertical="center" wrapText="1"/>
    </xf>
    <xf numFmtId="49" fontId="44" fillId="11" borderId="15" xfId="0" applyNumberFormat="1" applyFont="1" applyFill="1" applyBorder="1" applyAlignment="1">
      <alignment horizontal="center" vertical="center" wrapText="1"/>
    </xf>
    <xf numFmtId="49" fontId="44" fillId="11" borderId="16" xfId="0" applyNumberFormat="1" applyFont="1" applyFill="1" applyBorder="1" applyAlignment="1">
      <alignment horizontal="center" vertical="center" wrapText="1"/>
    </xf>
    <xf numFmtId="0" fontId="44" fillId="9" borderId="11" xfId="0" applyFont="1" applyFill="1" applyBorder="1" applyAlignment="1">
      <alignment horizontal="center" vertical="center" wrapText="1"/>
    </xf>
    <xf numFmtId="0" fontId="44" fillId="9" borderId="12" xfId="0" applyFont="1" applyFill="1" applyBorder="1" applyAlignment="1">
      <alignment horizontal="center" vertical="center" wrapText="1"/>
    </xf>
    <xf numFmtId="0" fontId="44" fillId="9" borderId="13" xfId="0" applyFont="1" applyFill="1" applyBorder="1" applyAlignment="1">
      <alignment horizontal="center" vertical="center" wrapText="1"/>
    </xf>
    <xf numFmtId="49" fontId="44" fillId="9" borderId="14" xfId="0" applyNumberFormat="1" applyFont="1" applyFill="1" applyBorder="1" applyAlignment="1">
      <alignment horizontal="center" vertical="center" wrapText="1"/>
    </xf>
    <xf numFmtId="49" fontId="44" fillId="9" borderId="15" xfId="0" applyNumberFormat="1" applyFont="1" applyFill="1" applyBorder="1" applyAlignment="1">
      <alignment horizontal="center" vertical="center" wrapText="1"/>
    </xf>
    <xf numFmtId="49" fontId="44" fillId="9" borderId="16" xfId="0" applyNumberFormat="1" applyFont="1" applyFill="1" applyBorder="1" applyAlignment="1">
      <alignment horizontal="center" vertical="center" wrapText="1"/>
    </xf>
    <xf numFmtId="0" fontId="44" fillId="6" borderId="11" xfId="0" applyFont="1" applyFill="1" applyBorder="1" applyAlignment="1">
      <alignment horizontal="center" vertical="center" wrapText="1"/>
    </xf>
    <xf numFmtId="0" fontId="44" fillId="6" borderId="12" xfId="0" applyFont="1" applyFill="1" applyBorder="1" applyAlignment="1">
      <alignment horizontal="center" vertical="center" wrapText="1"/>
    </xf>
    <xf numFmtId="0" fontId="44" fillId="6" borderId="13" xfId="0" applyFont="1" applyFill="1" applyBorder="1" applyAlignment="1">
      <alignment horizontal="center" vertical="center" wrapText="1"/>
    </xf>
    <xf numFmtId="49" fontId="8" fillId="6" borderId="14" xfId="0" applyNumberFormat="1" applyFont="1" applyFill="1" applyBorder="1" applyAlignment="1">
      <alignment horizontal="center" vertical="center" wrapText="1"/>
    </xf>
    <xf numFmtId="49" fontId="8" fillId="6" borderId="15" xfId="0" applyNumberFormat="1" applyFont="1" applyFill="1" applyBorder="1" applyAlignment="1">
      <alignment horizontal="center" vertical="center" wrapText="1"/>
    </xf>
    <xf numFmtId="49" fontId="8" fillId="6" borderId="16" xfId="0" applyNumberFormat="1" applyFont="1" applyFill="1" applyBorder="1" applyAlignment="1">
      <alignment horizontal="center" vertical="center" wrapText="1"/>
    </xf>
    <xf numFmtId="49" fontId="8" fillId="10" borderId="14" xfId="0" applyNumberFormat="1" applyFont="1" applyFill="1" applyBorder="1" applyAlignment="1">
      <alignment horizontal="center" vertical="center" wrapText="1"/>
    </xf>
    <xf numFmtId="49" fontId="8" fillId="10" borderId="15" xfId="0" applyNumberFormat="1" applyFont="1" applyFill="1" applyBorder="1" applyAlignment="1">
      <alignment horizontal="center" vertical="center" wrapText="1"/>
    </xf>
    <xf numFmtId="49" fontId="8" fillId="10" borderId="16" xfId="0" applyNumberFormat="1" applyFont="1" applyFill="1" applyBorder="1" applyAlignment="1">
      <alignment horizontal="center" vertical="center" wrapText="1"/>
    </xf>
    <xf numFmtId="0" fontId="44" fillId="10" borderId="11" xfId="0" applyFont="1" applyFill="1" applyBorder="1" applyAlignment="1">
      <alignment horizontal="center" vertical="center" wrapText="1"/>
    </xf>
    <xf numFmtId="0" fontId="44" fillId="10" borderId="12" xfId="0" applyFont="1" applyFill="1" applyBorder="1" applyAlignment="1">
      <alignment horizontal="center" vertical="center" wrapText="1"/>
    </xf>
    <xf numFmtId="0" fontId="44" fillId="10" borderId="13" xfId="0" applyFont="1" applyFill="1" applyBorder="1" applyAlignment="1">
      <alignment horizontal="center" vertical="center" wrapText="1"/>
    </xf>
    <xf numFmtId="0" fontId="44" fillId="9" borderId="6" xfId="0" applyFont="1" applyFill="1" applyBorder="1" applyAlignment="1">
      <alignment horizontal="center" vertical="center" wrapText="1"/>
    </xf>
    <xf numFmtId="49" fontId="44" fillId="6" borderId="11" xfId="0" applyNumberFormat="1" applyFont="1" applyFill="1" applyBorder="1" applyAlignment="1">
      <alignment horizontal="center" vertical="center" wrapText="1"/>
    </xf>
    <xf numFmtId="49" fontId="44" fillId="6" borderId="12" xfId="0" applyNumberFormat="1" applyFont="1" applyFill="1" applyBorder="1" applyAlignment="1">
      <alignment horizontal="center" vertical="center" wrapText="1"/>
    </xf>
    <xf numFmtId="49" fontId="44" fillId="6" borderId="13" xfId="0" applyNumberFormat="1" applyFont="1" applyFill="1" applyBorder="1" applyAlignment="1">
      <alignment horizontal="center" vertical="center" wrapText="1"/>
    </xf>
    <xf numFmtId="49" fontId="44" fillId="10" borderId="11" xfId="0" applyNumberFormat="1" applyFont="1" applyFill="1" applyBorder="1" applyAlignment="1">
      <alignment horizontal="center" vertical="center" wrapText="1"/>
    </xf>
    <xf numFmtId="49" fontId="44" fillId="10" borderId="12" xfId="0" applyNumberFormat="1" applyFont="1" applyFill="1" applyBorder="1" applyAlignment="1">
      <alignment horizontal="center" vertical="center" wrapText="1"/>
    </xf>
    <xf numFmtId="49" fontId="44" fillId="10" borderId="13" xfId="0" applyNumberFormat="1" applyFont="1" applyFill="1" applyBorder="1" applyAlignment="1">
      <alignment horizontal="center" vertical="center" wrapText="1"/>
    </xf>
    <xf numFmtId="49" fontId="44" fillId="2" borderId="11" xfId="0" applyNumberFormat="1" applyFont="1" applyFill="1" applyBorder="1" applyAlignment="1">
      <alignment horizontal="center" vertical="center" wrapText="1"/>
    </xf>
    <xf numFmtId="49" fontId="44" fillId="2" borderId="12" xfId="0" applyNumberFormat="1" applyFont="1" applyFill="1" applyBorder="1" applyAlignment="1">
      <alignment horizontal="center" vertical="center" wrapText="1"/>
    </xf>
    <xf numFmtId="49" fontId="44" fillId="2" borderId="13" xfId="0" applyNumberFormat="1" applyFont="1" applyFill="1" applyBorder="1" applyAlignment="1">
      <alignment horizontal="center" vertical="center" wrapText="1"/>
    </xf>
    <xf numFmtId="49" fontId="44" fillId="11" borderId="11" xfId="0" applyNumberFormat="1" applyFont="1" applyFill="1" applyBorder="1" applyAlignment="1">
      <alignment horizontal="center" vertical="center" wrapText="1"/>
    </xf>
    <xf numFmtId="49" fontId="44" fillId="11" borderId="12" xfId="0" applyNumberFormat="1" applyFont="1" applyFill="1" applyBorder="1" applyAlignment="1">
      <alignment horizontal="center" vertical="center" wrapText="1"/>
    </xf>
    <xf numFmtId="49" fontId="44" fillId="11" borderId="13" xfId="0" applyNumberFormat="1" applyFont="1" applyFill="1" applyBorder="1" applyAlignment="1">
      <alignment horizontal="center" vertical="center" wrapText="1"/>
    </xf>
    <xf numFmtId="49" fontId="44" fillId="9" borderId="11" xfId="0" applyNumberFormat="1" applyFont="1" applyFill="1" applyBorder="1" applyAlignment="1">
      <alignment horizontal="center" vertical="center" wrapText="1"/>
    </xf>
    <xf numFmtId="49" fontId="44" fillId="9" borderId="12" xfId="0" applyNumberFormat="1" applyFont="1" applyFill="1" applyBorder="1" applyAlignment="1">
      <alignment horizontal="center" vertical="center" wrapText="1"/>
    </xf>
    <xf numFmtId="49" fontId="44" fillId="9" borderId="13" xfId="0" applyNumberFormat="1" applyFont="1" applyFill="1" applyBorder="1" applyAlignment="1">
      <alignment horizontal="center" vertical="center" wrapText="1"/>
    </xf>
    <xf numFmtId="49" fontId="44" fillId="10" borderId="3" xfId="0" applyNumberFormat="1" applyFont="1" applyFill="1" applyBorder="1" applyAlignment="1">
      <alignment horizontal="center" vertical="center" wrapText="1"/>
    </xf>
    <xf numFmtId="0" fontId="44" fillId="10" borderId="3" xfId="0" applyFont="1" applyFill="1" applyBorder="1" applyAlignment="1">
      <alignment horizontal="center" vertical="center" wrapText="1"/>
    </xf>
    <xf numFmtId="49" fontId="44" fillId="10" borderId="15" xfId="0" applyNumberFormat="1" applyFont="1" applyFill="1" applyBorder="1" applyAlignment="1">
      <alignment horizontal="center" vertical="center" wrapText="1"/>
    </xf>
    <xf numFmtId="49" fontId="44" fillId="2" borderId="14" xfId="0" applyNumberFormat="1" applyFont="1" applyFill="1" applyBorder="1" applyAlignment="1">
      <alignment horizontal="center" vertical="center" wrapText="1"/>
    </xf>
    <xf numFmtId="49" fontId="44" fillId="2" borderId="15" xfId="0" applyNumberFormat="1" applyFont="1" applyFill="1" applyBorder="1" applyAlignment="1">
      <alignment horizontal="center" vertical="center" wrapText="1"/>
    </xf>
    <xf numFmtId="49" fontId="44" fillId="2" borderId="16" xfId="0" applyNumberFormat="1" applyFont="1" applyFill="1" applyBorder="1" applyAlignment="1">
      <alignment horizontal="center" vertical="center" wrapText="1"/>
    </xf>
    <xf numFmtId="0" fontId="44" fillId="2" borderId="11"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44" fillId="2" borderId="13" xfId="0" applyFont="1" applyFill="1" applyBorder="1" applyAlignment="1">
      <alignment horizontal="center" vertical="center" wrapText="1"/>
    </xf>
    <xf numFmtId="0" fontId="6" fillId="2" borderId="2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5" xfId="0" applyFont="1" applyFill="1" applyBorder="1" applyAlignment="1">
      <alignment horizontal="center" vertical="center"/>
    </xf>
    <xf numFmtId="0" fontId="19" fillId="3" borderId="32" xfId="2" applyFont="1" applyFill="1" applyBorder="1" applyAlignment="1" applyProtection="1">
      <alignment horizontal="center" vertical="center" wrapText="1"/>
    </xf>
    <xf numFmtId="0" fontId="19" fillId="3" borderId="33" xfId="2" applyFont="1" applyFill="1" applyBorder="1" applyAlignment="1" applyProtection="1">
      <alignment horizontal="center" vertical="center" wrapText="1"/>
    </xf>
    <xf numFmtId="0" fontId="23" fillId="6" borderId="14" xfId="0" applyFont="1" applyFill="1" applyBorder="1" applyAlignment="1">
      <alignment horizontal="center" vertical="center" textRotation="90" wrapText="1"/>
    </xf>
    <xf numFmtId="0" fontId="23" fillId="6" borderId="15" xfId="0" applyFont="1" applyFill="1" applyBorder="1" applyAlignment="1">
      <alignment horizontal="center" vertical="center" textRotation="90" wrapText="1"/>
    </xf>
    <xf numFmtId="0" fontId="23" fillId="6" borderId="16" xfId="0" applyFont="1" applyFill="1" applyBorder="1" applyAlignment="1">
      <alignment horizontal="center" vertical="center" textRotation="90" wrapText="1"/>
    </xf>
    <xf numFmtId="0" fontId="19" fillId="2" borderId="37" xfId="2" applyFont="1" applyFill="1" applyBorder="1" applyAlignment="1" applyProtection="1">
      <alignment horizontal="center" vertical="center" wrapText="1"/>
    </xf>
    <xf numFmtId="0" fontId="19" fillId="2" borderId="83" xfId="2" applyFont="1" applyFill="1" applyBorder="1" applyAlignment="1" applyProtection="1">
      <alignment horizontal="center" vertical="center" wrapText="1"/>
    </xf>
    <xf numFmtId="0" fontId="19" fillId="2" borderId="38" xfId="2" applyFont="1" applyFill="1" applyBorder="1" applyAlignment="1" applyProtection="1">
      <alignment horizontal="center" vertical="center" wrapText="1"/>
    </xf>
    <xf numFmtId="0" fontId="19" fillId="2" borderId="39" xfId="2" applyFont="1" applyFill="1" applyBorder="1" applyAlignment="1" applyProtection="1">
      <alignment horizontal="center" vertical="center" wrapText="1"/>
    </xf>
    <xf numFmtId="0" fontId="19" fillId="2" borderId="40" xfId="2" applyFont="1" applyFill="1" applyBorder="1" applyAlignment="1" applyProtection="1">
      <alignment horizontal="center" vertical="center" wrapText="1"/>
    </xf>
    <xf numFmtId="0" fontId="19" fillId="2" borderId="42" xfId="2" applyFont="1" applyFill="1" applyBorder="1" applyAlignment="1" applyProtection="1">
      <alignment horizontal="center" vertical="center" wrapText="1"/>
    </xf>
    <xf numFmtId="0" fontId="19" fillId="2" borderId="41" xfId="2" applyFont="1" applyFill="1" applyBorder="1" applyAlignment="1" applyProtection="1">
      <alignment horizontal="center" vertical="center" wrapText="1"/>
    </xf>
    <xf numFmtId="0" fontId="19" fillId="2" borderId="43" xfId="2" applyFont="1" applyFill="1" applyBorder="1" applyAlignment="1" applyProtection="1">
      <alignment horizontal="center" vertical="center" wrapText="1"/>
    </xf>
    <xf numFmtId="9" fontId="41" fillId="0" borderId="87" xfId="0" applyNumberFormat="1" applyFont="1" applyBorder="1" applyAlignment="1" applyProtection="1">
      <alignment horizontal="center" vertical="center"/>
      <protection hidden="1"/>
    </xf>
    <xf numFmtId="9" fontId="41" fillId="0" borderId="88" xfId="0" applyNumberFormat="1" applyFont="1" applyBorder="1" applyAlignment="1" applyProtection="1">
      <alignment horizontal="center" vertical="center"/>
      <protection hidden="1"/>
    </xf>
    <xf numFmtId="9" fontId="28" fillId="7" borderId="84" xfId="1" applyFont="1" applyFill="1" applyBorder="1" applyAlignment="1" applyProtection="1">
      <alignment horizontal="center" vertical="center"/>
      <protection hidden="1"/>
    </xf>
    <xf numFmtId="9" fontId="28" fillId="7" borderId="85" xfId="1" applyFont="1" applyFill="1" applyBorder="1" applyAlignment="1" applyProtection="1">
      <alignment horizontal="center" vertical="center"/>
      <protection hidden="1"/>
    </xf>
    <xf numFmtId="9" fontId="28" fillId="7" borderId="86" xfId="1" applyFont="1" applyFill="1" applyBorder="1" applyAlignment="1" applyProtection="1">
      <alignment horizontal="center" vertical="center"/>
      <protection hidden="1"/>
    </xf>
    <xf numFmtId="0" fontId="27" fillId="9" borderId="14" xfId="0" applyFont="1" applyFill="1" applyBorder="1" applyAlignment="1">
      <alignment horizontal="center" vertical="center" textRotation="90"/>
    </xf>
    <xf numFmtId="0" fontId="27" fillId="9" borderId="15" xfId="0" applyFont="1" applyFill="1" applyBorder="1" applyAlignment="1">
      <alignment horizontal="center" vertical="center" textRotation="90"/>
    </xf>
    <xf numFmtId="0" fontId="27" fillId="9" borderId="16" xfId="0" applyFont="1" applyFill="1" applyBorder="1" applyAlignment="1">
      <alignment horizontal="center" vertical="center" textRotation="90"/>
    </xf>
    <xf numFmtId="9" fontId="41" fillId="4" borderId="87" xfId="0" applyNumberFormat="1" applyFont="1" applyFill="1" applyBorder="1" applyAlignment="1" applyProtection="1">
      <alignment horizontal="center" vertical="center"/>
      <protection hidden="1"/>
    </xf>
    <xf numFmtId="9" fontId="41" fillId="4" borderId="88" xfId="0" applyNumberFormat="1" applyFont="1" applyFill="1" applyBorder="1" applyAlignment="1" applyProtection="1">
      <alignment horizontal="center" vertical="center"/>
      <protection hidden="1"/>
    </xf>
    <xf numFmtId="9" fontId="41" fillId="4" borderId="89" xfId="0" applyNumberFormat="1" applyFont="1" applyFill="1" applyBorder="1" applyAlignment="1" applyProtection="1">
      <alignment horizontal="center" vertical="center"/>
      <protection hidden="1"/>
    </xf>
    <xf numFmtId="0" fontId="27" fillId="11" borderId="15" xfId="0" applyFont="1" applyFill="1" applyBorder="1" applyAlignment="1">
      <alignment horizontal="center" vertical="center" textRotation="90"/>
    </xf>
    <xf numFmtId="0" fontId="27" fillId="2" borderId="14" xfId="0" applyFont="1" applyFill="1" applyBorder="1" applyAlignment="1">
      <alignment horizontal="center" vertical="center" textRotation="90"/>
    </xf>
    <xf numFmtId="0" fontId="27" fillId="2" borderId="15" xfId="0" applyFont="1" applyFill="1" applyBorder="1" applyAlignment="1">
      <alignment horizontal="center" vertical="center" textRotation="90"/>
    </xf>
    <xf numFmtId="0" fontId="27" fillId="2" borderId="16" xfId="0" applyFont="1" applyFill="1" applyBorder="1" applyAlignment="1">
      <alignment horizontal="center" vertical="center" textRotation="90"/>
    </xf>
    <xf numFmtId="9" fontId="41" fillId="0" borderId="89" xfId="0" applyNumberFormat="1" applyFont="1" applyBorder="1" applyAlignment="1" applyProtection="1">
      <alignment horizontal="center" vertical="center"/>
      <protection hidden="1"/>
    </xf>
    <xf numFmtId="0" fontId="27" fillId="10" borderId="14" xfId="0" applyFont="1" applyFill="1" applyBorder="1" applyAlignment="1">
      <alignment horizontal="center" vertical="center" textRotation="90"/>
    </xf>
    <xf numFmtId="0" fontId="27" fillId="10" borderId="15" xfId="0" applyFont="1" applyFill="1" applyBorder="1" applyAlignment="1">
      <alignment horizontal="center" vertical="center" textRotation="90"/>
    </xf>
    <xf numFmtId="0" fontId="20" fillId="0" borderId="24" xfId="0" applyFont="1" applyBorder="1" applyAlignment="1" applyProtection="1">
      <alignment horizontal="center" wrapText="1"/>
      <protection locked="0"/>
    </xf>
    <xf numFmtId="0" fontId="20" fillId="0" borderId="1" xfId="0" applyFont="1" applyBorder="1" applyAlignment="1" applyProtection="1">
      <alignment horizontal="center" wrapText="1"/>
      <protection locked="0"/>
    </xf>
    <xf numFmtId="0" fontId="20" fillId="0" borderId="25" xfId="0" applyFont="1" applyBorder="1" applyAlignment="1" applyProtection="1">
      <alignment horizontal="center" wrapText="1"/>
      <protection locked="0"/>
    </xf>
    <xf numFmtId="0" fontId="52" fillId="12" borderId="0" xfId="0" applyFont="1" applyFill="1" applyBorder="1" applyAlignment="1">
      <alignment horizontal="center" vertical="center" wrapText="1"/>
    </xf>
    <xf numFmtId="0" fontId="57" fillId="0" borderId="24" xfId="0" applyFont="1" applyFill="1" applyBorder="1" applyAlignment="1" applyProtection="1">
      <alignment horizontal="center" vertical="center" wrapText="1"/>
      <protection locked="0"/>
    </xf>
    <xf numFmtId="0" fontId="57" fillId="0" borderId="1" xfId="0" applyFont="1" applyFill="1" applyBorder="1" applyAlignment="1" applyProtection="1">
      <alignment horizontal="center" vertical="center" wrapText="1"/>
      <protection locked="0"/>
    </xf>
    <xf numFmtId="0" fontId="57" fillId="0" borderId="25" xfId="0" applyFont="1" applyFill="1" applyBorder="1" applyAlignment="1" applyProtection="1">
      <alignment horizontal="center" vertical="center" wrapText="1"/>
      <protection locked="0"/>
    </xf>
    <xf numFmtId="0" fontId="0" fillId="0" borderId="73" xfId="0" applyBorder="1" applyAlignment="1">
      <alignment horizontal="center"/>
    </xf>
    <xf numFmtId="0" fontId="0" fillId="0" borderId="1" xfId="0" applyBorder="1" applyAlignment="1">
      <alignment horizontal="center"/>
    </xf>
    <xf numFmtId="49" fontId="49" fillId="4" borderId="91" xfId="0" applyNumberFormat="1" applyFont="1" applyFill="1" applyBorder="1" applyAlignment="1">
      <alignment horizontal="left" vertical="center" wrapText="1"/>
    </xf>
    <xf numFmtId="49" fontId="49" fillId="4" borderId="3" xfId="0" applyNumberFormat="1" applyFont="1" applyFill="1" applyBorder="1" applyAlignment="1">
      <alignment horizontal="left" vertical="center" wrapText="1"/>
    </xf>
    <xf numFmtId="49" fontId="49" fillId="4" borderId="92" xfId="0" applyNumberFormat="1" applyFont="1" applyFill="1" applyBorder="1" applyAlignment="1">
      <alignment horizontal="left" vertical="center" wrapText="1"/>
    </xf>
    <xf numFmtId="49" fontId="49" fillId="4" borderId="4" xfId="0" applyNumberFormat="1" applyFont="1" applyFill="1" applyBorder="1" applyAlignment="1">
      <alignment horizontal="left" vertical="center" wrapText="1"/>
    </xf>
    <xf numFmtId="0" fontId="51" fillId="2" borderId="7"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6" fillId="4" borderId="3" xfId="0" applyFont="1" applyFill="1" applyBorder="1" applyAlignment="1" applyProtection="1">
      <alignment horizontal="center" vertical="center"/>
      <protection locked="0"/>
    </xf>
    <xf numFmtId="164" fontId="56" fillId="4" borderId="22" xfId="0" applyNumberFormat="1" applyFont="1" applyFill="1" applyBorder="1" applyAlignment="1" applyProtection="1">
      <alignment horizontal="center" vertical="center"/>
      <protection locked="0"/>
    </xf>
    <xf numFmtId="164" fontId="56" fillId="4" borderId="23" xfId="0" applyNumberFormat="1" applyFont="1" applyFill="1" applyBorder="1" applyAlignment="1" applyProtection="1">
      <alignment horizontal="center" vertical="center"/>
      <protection locked="0"/>
    </xf>
    <xf numFmtId="164" fontId="56" fillId="4" borderId="9" xfId="0" applyNumberFormat="1" applyFont="1" applyFill="1" applyBorder="1" applyAlignment="1" applyProtection="1">
      <alignment horizontal="center" vertical="center"/>
      <protection locked="0"/>
    </xf>
    <xf numFmtId="0" fontId="52" fillId="2" borderId="24" xfId="0" applyFont="1" applyFill="1" applyBorder="1" applyAlignment="1">
      <alignment horizontal="center" vertical="center" wrapText="1"/>
    </xf>
    <xf numFmtId="0" fontId="52" fillId="2" borderId="1" xfId="0" applyFont="1" applyFill="1" applyBorder="1" applyAlignment="1">
      <alignment horizontal="center" vertical="center" wrapText="1"/>
    </xf>
    <xf numFmtId="0" fontId="52" fillId="2" borderId="25" xfId="0"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49" fontId="49" fillId="4" borderId="90" xfId="0" applyNumberFormat="1" applyFont="1" applyFill="1" applyBorder="1" applyAlignment="1">
      <alignment horizontal="left" vertical="center" wrapText="1"/>
    </xf>
    <xf numFmtId="49" fontId="49" fillId="4" borderId="2" xfId="0" applyNumberFormat="1" applyFont="1" applyFill="1" applyBorder="1" applyAlignment="1">
      <alignment horizontal="left" vertical="center" wrapText="1"/>
    </xf>
    <xf numFmtId="49" fontId="20" fillId="4" borderId="2" xfId="0" applyNumberFormat="1" applyFont="1" applyFill="1" applyBorder="1" applyAlignment="1" applyProtection="1">
      <alignment horizontal="center" vertical="top" wrapText="1"/>
      <protection locked="0"/>
    </xf>
    <xf numFmtId="49" fontId="20" fillId="4" borderId="84" xfId="0" applyNumberFormat="1" applyFont="1" applyFill="1" applyBorder="1" applyAlignment="1" applyProtection="1">
      <alignment horizontal="center" vertical="top" wrapText="1"/>
      <protection locked="0"/>
    </xf>
    <xf numFmtId="49" fontId="20" fillId="4" borderId="3" xfId="0" applyNumberFormat="1" applyFont="1" applyFill="1" applyBorder="1" applyAlignment="1" applyProtection="1">
      <alignment horizontal="center" vertical="top" wrapText="1"/>
      <protection locked="0"/>
    </xf>
    <xf numFmtId="49" fontId="20" fillId="4" borderId="85" xfId="0" applyNumberFormat="1" applyFont="1" applyFill="1" applyBorder="1" applyAlignment="1" applyProtection="1">
      <alignment horizontal="center" vertical="top" wrapText="1"/>
      <protection locked="0"/>
    </xf>
    <xf numFmtId="49" fontId="20" fillId="4" borderId="94" xfId="0" applyNumberFormat="1" applyFont="1" applyFill="1" applyBorder="1" applyAlignment="1" applyProtection="1">
      <alignment horizontal="center" vertical="top" wrapText="1"/>
      <protection locked="0"/>
    </xf>
    <xf numFmtId="49" fontId="20" fillId="4" borderId="95" xfId="0" applyNumberFormat="1" applyFont="1" applyFill="1" applyBorder="1" applyAlignment="1" applyProtection="1">
      <alignment horizontal="center" vertical="top" wrapText="1"/>
      <protection locked="0"/>
    </xf>
    <xf numFmtId="49" fontId="20" fillId="4" borderId="96" xfId="0" applyNumberFormat="1" applyFont="1" applyFill="1" applyBorder="1" applyAlignment="1" applyProtection="1">
      <alignment horizontal="center" vertical="top" wrapText="1"/>
      <protection locked="0"/>
    </xf>
  </cellXfs>
  <cellStyles count="5">
    <cellStyle name="Normal" xfId="0" builtinId="0"/>
    <cellStyle name="Normal - Style1 2" xfId="3"/>
    <cellStyle name="Normal 2" xfId="2"/>
    <cellStyle name="Normal 2 2" xfId="4"/>
    <cellStyle name="Porcentaje" xfId="1" builtinId="5"/>
  </cellStyles>
  <dxfs count="20">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1050132</xdr:colOff>
      <xdr:row>0</xdr:row>
      <xdr:rowOff>66818</xdr:rowOff>
    </xdr:from>
    <xdr:to>
      <xdr:col>7</xdr:col>
      <xdr:colOff>726282</xdr:colOff>
      <xdr:row>11</xdr:row>
      <xdr:rowOff>47624</xdr:rowOff>
    </xdr:to>
    <xdr:pic>
      <xdr:nvPicPr>
        <xdr:cNvPr id="2" name="Imagen 1">
          <a:extLst>
            <a:ext uri="{FF2B5EF4-FFF2-40B4-BE49-F238E27FC236}">
              <a16:creationId xmlns=""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169945" y="66818"/>
          <a:ext cx="3676650" cy="2338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281667</xdr:colOff>
      <xdr:row>7</xdr:row>
      <xdr:rowOff>102768</xdr:rowOff>
    </xdr:from>
    <xdr:to>
      <xdr:col>6</xdr:col>
      <xdr:colOff>595313</xdr:colOff>
      <xdr:row>14</xdr:row>
      <xdr:rowOff>55289</xdr:rowOff>
    </xdr:to>
    <xdr:pic>
      <xdr:nvPicPr>
        <xdr:cNvPr id="4" name="Imagen 3">
          <a:extLst>
            <a:ext uri="{FF2B5EF4-FFF2-40B4-BE49-F238E27FC236}">
              <a16:creationId xmlns=""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4567917" y="2037534"/>
          <a:ext cx="3959935" cy="23486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ll\Desktop\cesar\HISTORICOS\2020-04-22_Formato_informe_sci_parametrizado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Definiciones"/>
      <sheetName val="Ambiente de Control"/>
      <sheetName val="Evaluación de riesgos"/>
      <sheetName val="Actividades de control"/>
      <sheetName val="Info y Comunicación"/>
      <sheetName val="Actividades de Monitoreo"/>
      <sheetName val="Analisis de Resultados"/>
      <sheetName val="Conclusiones"/>
      <sheetName val="Hoja1"/>
      <sheetName val="Hoja4"/>
      <sheetName val="Hoja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topLeftCell="A3" zoomScale="90" zoomScaleNormal="90" workbookViewId="0">
      <selection activeCell="B6" sqref="B6:H7"/>
    </sheetView>
  </sheetViews>
  <sheetFormatPr baseColWidth="10" defaultColWidth="0" defaultRowHeight="12.75" zeroHeight="1" x14ac:dyDescent="0.2"/>
  <cols>
    <col min="1" max="1" width="3.85546875" style="45" customWidth="1"/>
    <col min="2" max="2" width="15.28515625" style="45" customWidth="1"/>
    <col min="3" max="3" width="17.28515625" style="45" customWidth="1"/>
    <col min="4" max="4" width="28.5703125" style="45" customWidth="1"/>
    <col min="5" max="5" width="12.85546875" style="45" customWidth="1"/>
    <col min="6" max="6" width="47.140625" style="45" customWidth="1"/>
    <col min="7" max="7" width="21.42578125" style="45" customWidth="1"/>
    <col min="8" max="8" width="6.5703125" style="45" customWidth="1"/>
    <col min="9" max="9" width="2.5703125" style="45" customWidth="1"/>
    <col min="10" max="16384" width="11.42578125" style="45" hidden="1"/>
  </cols>
  <sheetData>
    <row r="1" spans="2:8" ht="13.5" thickBot="1" x14ac:dyDescent="0.25"/>
    <row r="2" spans="2:8" ht="73.5" customHeight="1" x14ac:dyDescent="0.2">
      <c r="B2" s="200" t="s">
        <v>0</v>
      </c>
      <c r="C2" s="201"/>
      <c r="D2" s="201"/>
      <c r="E2" s="201"/>
      <c r="F2" s="201"/>
      <c r="G2" s="201"/>
      <c r="H2" s="202"/>
    </row>
    <row r="3" spans="2:8" ht="65.25" customHeight="1" x14ac:dyDescent="0.2">
      <c r="B3" s="203" t="s">
        <v>1</v>
      </c>
      <c r="C3" s="204"/>
      <c r="D3" s="204"/>
      <c r="E3" s="204"/>
      <c r="F3" s="204"/>
      <c r="G3" s="204"/>
      <c r="H3" s="205"/>
    </row>
    <row r="4" spans="2:8" ht="82.5" customHeight="1" x14ac:dyDescent="0.2">
      <c r="B4" s="203"/>
      <c r="C4" s="204"/>
      <c r="D4" s="204"/>
      <c r="E4" s="204"/>
      <c r="F4" s="204"/>
      <c r="G4" s="204"/>
      <c r="H4" s="205"/>
    </row>
    <row r="5" spans="2:8" ht="21.75" customHeight="1" x14ac:dyDescent="0.2">
      <c r="B5" s="206" t="s">
        <v>2</v>
      </c>
      <c r="C5" s="207"/>
      <c r="D5" s="207"/>
      <c r="E5" s="207"/>
      <c r="F5" s="207"/>
      <c r="G5" s="207"/>
      <c r="H5" s="208"/>
    </row>
    <row r="6" spans="2:8" ht="42" customHeight="1" x14ac:dyDescent="0.2">
      <c r="B6" s="209" t="s">
        <v>3</v>
      </c>
      <c r="C6" s="210"/>
      <c r="D6" s="210"/>
      <c r="E6" s="210"/>
      <c r="F6" s="210"/>
      <c r="G6" s="210"/>
      <c r="H6" s="211"/>
    </row>
    <row r="7" spans="2:8" ht="14.25" customHeight="1" x14ac:dyDescent="0.2">
      <c r="B7" s="209"/>
      <c r="C7" s="210"/>
      <c r="D7" s="210"/>
      <c r="E7" s="210"/>
      <c r="F7" s="210"/>
      <c r="G7" s="210"/>
      <c r="H7" s="211"/>
    </row>
    <row r="8" spans="2:8" ht="12.75" customHeight="1" thickBot="1" x14ac:dyDescent="0.25">
      <c r="B8" s="57"/>
      <c r="C8" s="51"/>
      <c r="D8" s="67"/>
      <c r="E8" s="68"/>
      <c r="F8" s="68"/>
      <c r="G8" s="65"/>
      <c r="H8" s="66"/>
    </row>
    <row r="9" spans="2:8" ht="21" customHeight="1" thickTop="1" x14ac:dyDescent="0.2">
      <c r="B9" s="57"/>
      <c r="C9" s="212" t="s">
        <v>4</v>
      </c>
      <c r="D9" s="213"/>
      <c r="E9" s="214" t="s">
        <v>5</v>
      </c>
      <c r="F9" s="215"/>
      <c r="G9" s="51"/>
      <c r="H9" s="59"/>
    </row>
    <row r="10" spans="2:8" ht="37.5" customHeight="1" x14ac:dyDescent="0.2">
      <c r="B10" s="57"/>
      <c r="C10" s="192" t="s">
        <v>6</v>
      </c>
      <c r="D10" s="193"/>
      <c r="E10" s="194" t="s">
        <v>7</v>
      </c>
      <c r="F10" s="195"/>
      <c r="G10" s="51"/>
      <c r="H10" s="59"/>
    </row>
    <row r="11" spans="2:8" ht="39.75" customHeight="1" x14ac:dyDescent="0.2">
      <c r="B11" s="57"/>
      <c r="C11" s="196" t="s">
        <v>8</v>
      </c>
      <c r="D11" s="197"/>
      <c r="E11" s="173" t="s">
        <v>9</v>
      </c>
      <c r="F11" s="174"/>
      <c r="G11" s="51"/>
      <c r="H11" s="59"/>
    </row>
    <row r="12" spans="2:8" ht="59.25" customHeight="1" x14ac:dyDescent="0.2">
      <c r="B12" s="57"/>
      <c r="C12" s="196" t="s">
        <v>10</v>
      </c>
      <c r="D12" s="197"/>
      <c r="E12" s="198" t="s">
        <v>11</v>
      </c>
      <c r="F12" s="199"/>
      <c r="G12" s="51"/>
      <c r="H12" s="59"/>
    </row>
    <row r="13" spans="2:8" ht="33.75" customHeight="1" x14ac:dyDescent="0.2">
      <c r="B13" s="57"/>
      <c r="C13" s="171" t="s">
        <v>12</v>
      </c>
      <c r="D13" s="172"/>
      <c r="E13" s="173" t="s">
        <v>13</v>
      </c>
      <c r="F13" s="174"/>
      <c r="G13" s="51"/>
      <c r="H13" s="59"/>
    </row>
    <row r="14" spans="2:8" ht="19.5" customHeight="1" x14ac:dyDescent="0.2">
      <c r="B14" s="57"/>
      <c r="C14" s="63"/>
      <c r="D14" s="63"/>
      <c r="E14" s="64"/>
      <c r="F14" s="64"/>
      <c r="G14" s="51"/>
      <c r="H14" s="59"/>
    </row>
    <row r="15" spans="2:8" ht="37.5" customHeight="1" thickBot="1" x14ac:dyDescent="0.25">
      <c r="B15" s="167" t="s">
        <v>14</v>
      </c>
      <c r="C15" s="168"/>
      <c r="D15" s="168"/>
      <c r="E15" s="168"/>
      <c r="F15" s="168"/>
      <c r="G15" s="168"/>
      <c r="H15" s="169"/>
    </row>
    <row r="16" spans="2:8" ht="27.75" customHeight="1" thickBot="1" x14ac:dyDescent="0.25">
      <c r="B16" s="57"/>
      <c r="C16" s="175" t="s">
        <v>15</v>
      </c>
      <c r="D16" s="176"/>
      <c r="E16" s="176" t="s">
        <v>16</v>
      </c>
      <c r="F16" s="187"/>
      <c r="G16" s="51"/>
      <c r="H16" s="59"/>
    </row>
    <row r="17" spans="2:8" ht="27.75" customHeight="1" x14ac:dyDescent="0.2">
      <c r="B17" s="57"/>
      <c r="C17" s="188" t="s">
        <v>17</v>
      </c>
      <c r="D17" s="189"/>
      <c r="E17" s="190" t="s">
        <v>18</v>
      </c>
      <c r="F17" s="191"/>
      <c r="G17" s="101"/>
      <c r="H17" s="59"/>
    </row>
    <row r="18" spans="2:8" ht="41.25" customHeight="1" x14ac:dyDescent="0.2">
      <c r="B18" s="57"/>
      <c r="C18" s="177" t="s">
        <v>19</v>
      </c>
      <c r="D18" s="178"/>
      <c r="E18" s="179" t="s">
        <v>20</v>
      </c>
      <c r="F18" s="180"/>
      <c r="G18" s="102"/>
      <c r="H18" s="59"/>
    </row>
    <row r="19" spans="2:8" ht="37.5" customHeight="1" thickBot="1" x14ac:dyDescent="0.25">
      <c r="B19" s="57"/>
      <c r="C19" s="181" t="s">
        <v>21</v>
      </c>
      <c r="D19" s="182"/>
      <c r="E19" s="183" t="s">
        <v>22</v>
      </c>
      <c r="F19" s="184"/>
      <c r="G19" s="102"/>
      <c r="H19" s="59"/>
    </row>
    <row r="20" spans="2:8" ht="11.25" customHeight="1" x14ac:dyDescent="0.2">
      <c r="B20" s="52"/>
      <c r="C20" s="53"/>
      <c r="D20" s="53"/>
      <c r="E20" s="53"/>
      <c r="F20" s="53"/>
      <c r="G20" s="53"/>
      <c r="H20" s="54"/>
    </row>
    <row r="21" spans="2:8" ht="14.25" customHeight="1" x14ac:dyDescent="0.2">
      <c r="B21" s="55"/>
      <c r="C21" s="185"/>
      <c r="D21" s="185"/>
      <c r="E21" s="186"/>
      <c r="F21" s="186"/>
      <c r="G21" s="186"/>
      <c r="H21" s="56"/>
    </row>
    <row r="22" spans="2:8" ht="36" customHeight="1" x14ac:dyDescent="0.2">
      <c r="B22" s="167" t="s">
        <v>23</v>
      </c>
      <c r="C22" s="168"/>
      <c r="D22" s="168"/>
      <c r="E22" s="168"/>
      <c r="F22" s="168"/>
      <c r="G22" s="168"/>
      <c r="H22" s="169"/>
    </row>
    <row r="23" spans="2:8" ht="13.5" x14ac:dyDescent="0.2">
      <c r="B23" s="57"/>
      <c r="C23" s="58"/>
      <c r="D23" s="58"/>
      <c r="E23" s="170"/>
      <c r="F23" s="170"/>
      <c r="G23" s="51"/>
      <c r="H23" s="59"/>
    </row>
    <row r="24" spans="2:8" ht="13.5" thickBot="1" x14ac:dyDescent="0.25">
      <c r="B24" s="60"/>
      <c r="C24" s="61"/>
      <c r="D24" s="61"/>
      <c r="E24" s="61"/>
      <c r="F24" s="61"/>
      <c r="G24" s="61"/>
      <c r="H24" s="62"/>
    </row>
    <row r="25" spans="2:8" x14ac:dyDescent="0.2"/>
    <row r="26" spans="2:8" ht="29.25" customHeight="1" x14ac:dyDescent="0.2"/>
    <row r="27" spans="2:8" ht="26.25" customHeight="1" x14ac:dyDescent="0.2"/>
    <row r="28" spans="2:8" ht="43.5" customHeight="1" x14ac:dyDescent="0.2"/>
    <row r="29" spans="2:8" ht="53.25" customHeight="1" x14ac:dyDescent="0.2"/>
    <row r="30" spans="2:8" x14ac:dyDescent="0.2"/>
    <row r="31" spans="2:8" x14ac:dyDescent="0.2"/>
    <row r="32" spans="2:8" x14ac:dyDescent="0.2"/>
    <row r="33" x14ac:dyDescent="0.2"/>
    <row r="34" x14ac:dyDescent="0.2"/>
    <row r="35"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x14ac:dyDescent="0.2"/>
    <row r="52" x14ac:dyDescent="0.2"/>
    <row r="54" x14ac:dyDescent="0.2"/>
  </sheetData>
  <sheetProtection algorithmName="SHA-512" hashValue="t7sIeOvFa2bhukBsHVcHmO5gG9cifT20ZR8W/o5PL1FLs7w8K+KkEm6wLVbMVfYFM8W9luBRuNKu+qdhAWPM7w==" saltValue="H/shNuEdnFDauevCofk8Sw==" spinCount="100000" sheet="1" objects="1" scenarios="1"/>
  <mergeCells count="27">
    <mergeCell ref="B2:H2"/>
    <mergeCell ref="B3:H4"/>
    <mergeCell ref="B5:H5"/>
    <mergeCell ref="B6:H7"/>
    <mergeCell ref="C9:D9"/>
    <mergeCell ref="E9:F9"/>
    <mergeCell ref="C10:D10"/>
    <mergeCell ref="E10:F10"/>
    <mergeCell ref="C11:D11"/>
    <mergeCell ref="E11:F11"/>
    <mergeCell ref="C12:D12"/>
    <mergeCell ref="E12:F12"/>
    <mergeCell ref="B22:H22"/>
    <mergeCell ref="E23:F23"/>
    <mergeCell ref="C13:D13"/>
    <mergeCell ref="E13:F13"/>
    <mergeCell ref="C16:D16"/>
    <mergeCell ref="C18:D18"/>
    <mergeCell ref="E18:F18"/>
    <mergeCell ref="C19:D19"/>
    <mergeCell ref="E19:F19"/>
    <mergeCell ref="C21:D21"/>
    <mergeCell ref="E21:G21"/>
    <mergeCell ref="B15:H15"/>
    <mergeCell ref="E16:F16"/>
    <mergeCell ref="C17:D17"/>
    <mergeCell ref="E17:F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9"/>
  <sheetViews>
    <sheetView showGridLines="0" topLeftCell="B55" zoomScale="80" zoomScaleNormal="80" workbookViewId="0">
      <selection activeCell="K17" sqref="K17"/>
    </sheetView>
  </sheetViews>
  <sheetFormatPr baseColWidth="10" defaultColWidth="11.42578125" defaultRowHeight="16.5" x14ac:dyDescent="0.3"/>
  <cols>
    <col min="1" max="1" width="3" style="47" hidden="1" customWidth="1"/>
    <col min="2" max="2" width="9.42578125" style="47" customWidth="1"/>
    <col min="3" max="3" width="25.5703125" style="47" customWidth="1"/>
    <col min="4" max="4" width="46.5703125" style="47" customWidth="1"/>
    <col min="5" max="5" width="10.140625" style="70" customWidth="1"/>
    <col min="6" max="6" width="44.5703125" style="70" customWidth="1"/>
    <col min="7" max="7" width="15.42578125" style="47" customWidth="1"/>
    <col min="8" max="9" width="43" style="47" customWidth="1"/>
    <col min="10" max="12" width="11.42578125" style="75" customWidth="1"/>
    <col min="13" max="24" width="11.42578125" style="47" customWidth="1"/>
    <col min="25" max="16384" width="11.42578125" style="47"/>
  </cols>
  <sheetData>
    <row r="1" spans="1:32" x14ac:dyDescent="0.3">
      <c r="B1" s="46"/>
      <c r="C1" s="46"/>
      <c r="D1" s="46"/>
      <c r="E1" s="69"/>
      <c r="F1" s="69"/>
      <c r="G1" s="46"/>
      <c r="H1" s="46"/>
      <c r="I1" s="46"/>
      <c r="J1" s="71"/>
      <c r="K1" s="71"/>
      <c r="L1" s="72"/>
      <c r="M1" s="46"/>
      <c r="N1" s="46"/>
      <c r="O1" s="46"/>
      <c r="P1" s="46"/>
      <c r="Q1" s="46"/>
      <c r="R1" s="46"/>
      <c r="S1" s="46"/>
      <c r="T1" s="46"/>
      <c r="U1" s="46"/>
      <c r="V1" s="46"/>
      <c r="W1" s="46"/>
      <c r="X1" s="46"/>
    </row>
    <row r="2" spans="1:32" x14ac:dyDescent="0.3">
      <c r="B2" s="46"/>
      <c r="C2" s="46"/>
      <c r="D2" s="46"/>
      <c r="E2" s="69"/>
      <c r="F2" s="69"/>
      <c r="G2" s="46"/>
      <c r="H2" s="46"/>
      <c r="I2" s="46"/>
      <c r="J2" s="71"/>
      <c r="K2" s="71"/>
      <c r="L2" s="72"/>
      <c r="M2" s="46"/>
      <c r="N2" s="46"/>
      <c r="O2" s="46"/>
      <c r="P2" s="46"/>
      <c r="Q2" s="46"/>
      <c r="R2" s="46"/>
      <c r="S2" s="46"/>
      <c r="T2" s="46"/>
      <c r="U2" s="46"/>
      <c r="V2" s="46"/>
      <c r="W2" s="46"/>
      <c r="X2" s="46"/>
    </row>
    <row r="3" spans="1:32" x14ac:dyDescent="0.3">
      <c r="B3" s="46"/>
      <c r="C3" s="46"/>
      <c r="D3" s="46"/>
      <c r="E3" s="69"/>
      <c r="F3" s="69"/>
      <c r="G3" s="46"/>
      <c r="H3" s="46"/>
      <c r="I3" s="46"/>
      <c r="J3" s="71"/>
      <c r="K3" s="71"/>
      <c r="L3" s="72"/>
      <c r="M3" s="46"/>
      <c r="N3" s="46"/>
      <c r="O3" s="46"/>
      <c r="P3" s="46"/>
      <c r="Q3" s="46"/>
      <c r="R3" s="46"/>
      <c r="S3" s="46"/>
      <c r="T3" s="46"/>
      <c r="U3" s="46"/>
      <c r="V3" s="46"/>
      <c r="W3" s="46"/>
      <c r="X3" s="46"/>
    </row>
    <row r="4" spans="1:32" x14ac:dyDescent="0.3">
      <c r="B4" s="46"/>
      <c r="C4" s="46"/>
      <c r="D4" s="46"/>
      <c r="E4" s="69"/>
      <c r="F4" s="69"/>
      <c r="G4" s="46"/>
      <c r="H4" s="46"/>
      <c r="I4" s="46"/>
      <c r="J4" s="71"/>
      <c r="K4" s="71"/>
      <c r="L4" s="72"/>
      <c r="M4" s="46"/>
      <c r="N4" s="46"/>
      <c r="O4" s="46"/>
      <c r="P4" s="46"/>
      <c r="Q4" s="46"/>
      <c r="R4" s="46"/>
      <c r="S4" s="46"/>
      <c r="T4" s="46"/>
      <c r="U4" s="46"/>
      <c r="V4" s="46"/>
      <c r="W4" s="46"/>
      <c r="X4" s="46"/>
    </row>
    <row r="5" spans="1:32" x14ac:dyDescent="0.3">
      <c r="B5" s="46"/>
      <c r="C5" s="46"/>
      <c r="D5" s="46"/>
      <c r="E5" s="69"/>
      <c r="F5" s="69"/>
      <c r="G5" s="46"/>
      <c r="H5" s="46"/>
      <c r="I5" s="46"/>
      <c r="J5" s="71"/>
      <c r="K5" s="71"/>
      <c r="L5" s="72"/>
      <c r="M5" s="46"/>
      <c r="N5" s="46"/>
      <c r="O5" s="46"/>
      <c r="P5" s="46"/>
      <c r="Q5" s="46"/>
      <c r="R5" s="46"/>
      <c r="S5" s="46"/>
      <c r="T5" s="46"/>
      <c r="U5" s="46"/>
      <c r="V5" s="46"/>
      <c r="W5" s="46"/>
      <c r="X5" s="46"/>
    </row>
    <row r="6" spans="1:32" x14ac:dyDescent="0.3">
      <c r="B6" s="46"/>
      <c r="C6" s="46"/>
      <c r="D6" s="46"/>
      <c r="E6" s="69"/>
      <c r="F6" s="69"/>
      <c r="G6" s="46"/>
      <c r="H6" s="46"/>
      <c r="I6" s="46"/>
      <c r="J6" s="71"/>
      <c r="K6" s="71"/>
      <c r="L6" s="72"/>
      <c r="M6" s="46"/>
      <c r="N6" s="46"/>
      <c r="O6" s="46"/>
      <c r="P6" s="46"/>
      <c r="Q6" s="46"/>
      <c r="R6" s="46"/>
      <c r="S6" s="46"/>
      <c r="T6" s="46"/>
      <c r="U6" s="46"/>
      <c r="V6" s="46"/>
      <c r="W6" s="46"/>
      <c r="X6" s="46"/>
    </row>
    <row r="7" spans="1:32" x14ac:dyDescent="0.3">
      <c r="B7" s="46"/>
      <c r="C7" s="46"/>
      <c r="D7" s="46"/>
      <c r="E7" s="69"/>
      <c r="F7" s="69"/>
      <c r="G7" s="46"/>
      <c r="H7" s="46"/>
      <c r="I7" s="46"/>
      <c r="J7" s="71"/>
      <c r="K7" s="71"/>
      <c r="L7" s="72"/>
      <c r="M7" s="46"/>
      <c r="N7" s="46"/>
      <c r="O7" s="46"/>
      <c r="P7" s="46"/>
      <c r="Q7" s="46"/>
      <c r="R7" s="46"/>
      <c r="S7" s="46"/>
      <c r="T7" s="46"/>
      <c r="U7" s="46"/>
      <c r="V7" s="46"/>
      <c r="W7" s="46"/>
      <c r="X7" s="46"/>
    </row>
    <row r="8" spans="1:32" x14ac:dyDescent="0.3">
      <c r="B8" s="46"/>
      <c r="C8" s="46"/>
      <c r="D8" s="46"/>
      <c r="E8" s="69"/>
      <c r="F8" s="69"/>
      <c r="G8" s="46"/>
      <c r="H8" s="46"/>
      <c r="I8" s="46"/>
      <c r="J8" s="71"/>
      <c r="K8" s="71"/>
      <c r="L8" s="72"/>
      <c r="M8" s="46"/>
      <c r="N8" s="46"/>
      <c r="O8" s="46"/>
      <c r="P8" s="46"/>
      <c r="Q8" s="46"/>
      <c r="R8" s="46"/>
      <c r="S8" s="46"/>
      <c r="T8" s="46"/>
      <c r="U8" s="46"/>
      <c r="V8" s="46"/>
      <c r="W8" s="46"/>
      <c r="X8" s="46"/>
    </row>
    <row r="9" spans="1:32" x14ac:dyDescent="0.3">
      <c r="B9" s="46"/>
      <c r="C9" s="46"/>
      <c r="D9" s="46"/>
      <c r="E9" s="69"/>
      <c r="F9" s="69"/>
      <c r="G9" s="46"/>
      <c r="H9" s="46"/>
      <c r="I9" s="46"/>
      <c r="J9" s="71"/>
      <c r="K9" s="71"/>
      <c r="L9" s="72"/>
      <c r="M9" s="46"/>
      <c r="N9" s="46"/>
      <c r="O9" s="46"/>
      <c r="P9" s="46"/>
      <c r="Q9" s="46"/>
      <c r="R9" s="46"/>
      <c r="S9" s="46"/>
      <c r="T9" s="46"/>
      <c r="U9" s="46"/>
      <c r="V9" s="46"/>
      <c r="W9" s="46"/>
      <c r="X9" s="46"/>
    </row>
    <row r="10" spans="1:32" x14ac:dyDescent="0.3">
      <c r="B10" s="46"/>
      <c r="C10" s="46"/>
      <c r="D10" s="46"/>
      <c r="E10" s="69"/>
      <c r="F10" s="69"/>
      <c r="G10" s="46"/>
      <c r="H10" s="46"/>
      <c r="I10" s="46"/>
      <c r="J10" s="71"/>
      <c r="K10" s="71"/>
      <c r="L10" s="72"/>
      <c r="M10" s="46"/>
      <c r="N10" s="46"/>
      <c r="O10" s="46"/>
      <c r="P10" s="46"/>
      <c r="Q10" s="46"/>
      <c r="R10" s="46"/>
      <c r="S10" s="46"/>
      <c r="T10" s="46"/>
      <c r="U10" s="46"/>
      <c r="V10" s="46"/>
      <c r="W10" s="46"/>
      <c r="X10" s="46"/>
    </row>
    <row r="11" spans="1:32" x14ac:dyDescent="0.3">
      <c r="B11" s="46"/>
      <c r="C11" s="46"/>
      <c r="D11" s="46"/>
      <c r="E11" s="69"/>
      <c r="F11" s="69"/>
      <c r="G11" s="46"/>
      <c r="H11" s="46"/>
      <c r="I11" s="46"/>
      <c r="J11" s="71"/>
      <c r="K11" s="71"/>
      <c r="L11" s="72"/>
      <c r="M11" s="46"/>
      <c r="N11" s="46"/>
      <c r="O11" s="46"/>
      <c r="P11" s="46"/>
      <c r="Q11" s="46"/>
      <c r="R11" s="46"/>
      <c r="S11" s="46"/>
      <c r="T11" s="46"/>
      <c r="U11" s="46"/>
      <c r="V11" s="46"/>
      <c r="W11" s="46"/>
      <c r="X11" s="46"/>
    </row>
    <row r="12" spans="1:32" x14ac:dyDescent="0.3">
      <c r="B12" s="46"/>
      <c r="C12" s="46"/>
      <c r="D12" s="46"/>
      <c r="E12" s="69"/>
      <c r="F12" s="69"/>
      <c r="G12" s="46"/>
      <c r="H12" s="46"/>
      <c r="I12" s="46"/>
      <c r="J12" s="71"/>
      <c r="K12" s="71"/>
      <c r="L12" s="72"/>
      <c r="M12" s="46"/>
      <c r="N12" s="46"/>
      <c r="O12" s="46"/>
      <c r="P12" s="46"/>
      <c r="Q12" s="46"/>
      <c r="R12" s="46"/>
      <c r="S12" s="46"/>
      <c r="T12" s="46"/>
      <c r="U12" s="46"/>
      <c r="V12" s="46"/>
      <c r="W12" s="46"/>
      <c r="X12" s="46"/>
    </row>
    <row r="13" spans="1:32" x14ac:dyDescent="0.3">
      <c r="B13" s="46"/>
      <c r="C13" s="46"/>
      <c r="D13" s="46"/>
      <c r="E13" s="69"/>
      <c r="F13" s="69"/>
      <c r="G13" s="46"/>
      <c r="H13" s="46"/>
      <c r="I13" s="46"/>
      <c r="J13" s="71"/>
      <c r="K13" s="71"/>
      <c r="L13" s="72"/>
      <c r="M13" s="46"/>
      <c r="N13" s="46"/>
      <c r="O13" s="46"/>
      <c r="P13" s="46"/>
      <c r="Q13" s="46"/>
      <c r="R13" s="46"/>
      <c r="S13" s="46"/>
      <c r="T13" s="46"/>
      <c r="U13" s="46"/>
      <c r="V13" s="46"/>
      <c r="W13" s="46"/>
      <c r="X13" s="46"/>
    </row>
    <row r="14" spans="1:32" s="49" customFormat="1" ht="49.5" customHeight="1" x14ac:dyDescent="0.25">
      <c r="B14" s="216" t="s">
        <v>24</v>
      </c>
      <c r="C14" s="216"/>
      <c r="D14" s="216"/>
      <c r="E14" s="216"/>
      <c r="F14" s="216"/>
      <c r="G14" s="216"/>
      <c r="H14" s="216"/>
      <c r="I14" s="216"/>
      <c r="J14" s="73"/>
      <c r="K14" s="73"/>
      <c r="L14" s="74"/>
      <c r="M14" s="48"/>
      <c r="N14" s="48"/>
      <c r="O14" s="48"/>
      <c r="P14" s="48"/>
      <c r="Q14" s="48"/>
      <c r="R14" s="48"/>
      <c r="S14" s="48"/>
      <c r="T14" s="48"/>
      <c r="U14" s="48"/>
      <c r="V14" s="48"/>
      <c r="W14" s="48"/>
      <c r="X14" s="48"/>
      <c r="Y14" s="48"/>
      <c r="Z14" s="48"/>
      <c r="AA14" s="48"/>
      <c r="AB14" s="48"/>
      <c r="AC14" s="48"/>
      <c r="AD14" s="48"/>
      <c r="AE14" s="48"/>
      <c r="AF14" s="48"/>
    </row>
    <row r="15" spans="1:32" s="49" customFormat="1" ht="123.75" customHeight="1" thickBot="1" x14ac:dyDescent="0.3">
      <c r="B15" s="77" t="s">
        <v>25</v>
      </c>
      <c r="C15" s="77" t="s">
        <v>6</v>
      </c>
      <c r="D15" s="78" t="s">
        <v>8</v>
      </c>
      <c r="E15" s="79" t="s">
        <v>26</v>
      </c>
      <c r="F15" s="79" t="s">
        <v>27</v>
      </c>
      <c r="G15" s="79" t="s">
        <v>28</v>
      </c>
      <c r="H15" s="80" t="s">
        <v>29</v>
      </c>
      <c r="I15" s="79" t="s">
        <v>30</v>
      </c>
      <c r="J15" s="73"/>
      <c r="K15" s="73"/>
      <c r="L15" s="74"/>
      <c r="M15" s="48"/>
      <c r="N15" s="48"/>
      <c r="O15" s="48"/>
      <c r="P15" s="48"/>
      <c r="Q15" s="48"/>
      <c r="R15" s="48"/>
      <c r="S15" s="48"/>
      <c r="T15" s="48"/>
      <c r="U15" s="48"/>
      <c r="V15" s="48"/>
      <c r="W15" s="48"/>
      <c r="X15" s="48"/>
      <c r="Y15" s="48"/>
      <c r="Z15" s="48"/>
      <c r="AA15" s="48"/>
      <c r="AB15" s="48"/>
      <c r="AC15" s="48"/>
      <c r="AD15" s="48"/>
      <c r="AE15" s="48"/>
      <c r="AF15" s="48"/>
    </row>
    <row r="16" spans="1:32" s="49" customFormat="1" ht="71.25" customHeight="1" x14ac:dyDescent="0.25">
      <c r="A16" s="103" t="str">
        <f>1&amp;E16</f>
        <v>1a</v>
      </c>
      <c r="B16" s="232" t="s">
        <v>31</v>
      </c>
      <c r="C16" s="242" t="s">
        <v>32</v>
      </c>
      <c r="D16" s="229" t="s">
        <v>33</v>
      </c>
      <c r="E16" s="81" t="s">
        <v>34</v>
      </c>
      <c r="F16" s="82" t="s">
        <v>35</v>
      </c>
      <c r="G16" s="112" t="s">
        <v>36</v>
      </c>
      <c r="H16" s="113" t="s">
        <v>226</v>
      </c>
      <c r="I16" s="104" t="str">
        <f>+IF(G16="Si","Mantenimiento del control",IF(G16="En proceso","Oportunidad de mejora","Deficiencia de control"))</f>
        <v>Deficiencia de control</v>
      </c>
      <c r="J16" s="105">
        <f t="shared" ref="J16:J27" si="0">+IF(G16="Si",20,IF(G16="En proceso",10,0))</f>
        <v>0</v>
      </c>
      <c r="K16" s="105">
        <v>0.123</v>
      </c>
      <c r="L16" s="105">
        <f>+J16+K16</f>
        <v>0.123</v>
      </c>
    </row>
    <row r="17" spans="1:32" s="49" customFormat="1" ht="63" x14ac:dyDescent="0.25">
      <c r="A17" s="103" t="str">
        <f t="shared" ref="A17:A27" si="1">1&amp;E17</f>
        <v>1b</v>
      </c>
      <c r="B17" s="233"/>
      <c r="C17" s="243"/>
      <c r="D17" s="230"/>
      <c r="E17" s="83" t="s">
        <v>37</v>
      </c>
      <c r="F17" s="84" t="s">
        <v>38</v>
      </c>
      <c r="G17" s="114" t="s">
        <v>39</v>
      </c>
      <c r="H17" s="115" t="s">
        <v>219</v>
      </c>
      <c r="I17" s="106" t="str">
        <f t="shared" ref="I17:I59" si="2">+IF(G17="Si","Mantenimiento del control",IF(G17="En proceso","Oportunidad de mejora","Deficiencia de control"))</f>
        <v>Mantenimiento del control</v>
      </c>
      <c r="J17" s="107">
        <f t="shared" si="0"/>
        <v>20</v>
      </c>
      <c r="K17" s="105">
        <v>0.1234</v>
      </c>
      <c r="L17" s="105">
        <f t="shared" ref="L17:L59" si="3">+J17+K17</f>
        <v>20.1234</v>
      </c>
    </row>
    <row r="18" spans="1:32" s="49" customFormat="1" ht="64.5" customHeight="1" x14ac:dyDescent="0.25">
      <c r="A18" s="103" t="str">
        <f t="shared" si="1"/>
        <v>1c</v>
      </c>
      <c r="B18" s="233"/>
      <c r="C18" s="243"/>
      <c r="D18" s="230"/>
      <c r="E18" s="83" t="s">
        <v>40</v>
      </c>
      <c r="F18" s="85" t="s">
        <v>41</v>
      </c>
      <c r="G18" s="116" t="s">
        <v>39</v>
      </c>
      <c r="H18" s="117" t="s">
        <v>213</v>
      </c>
      <c r="I18" s="108" t="str">
        <f t="shared" si="2"/>
        <v>Mantenimiento del control</v>
      </c>
      <c r="J18" s="107">
        <f t="shared" si="0"/>
        <v>20</v>
      </c>
      <c r="K18" s="105">
        <v>0.12345</v>
      </c>
      <c r="L18" s="105">
        <f t="shared" si="3"/>
        <v>20.123449999999998</v>
      </c>
    </row>
    <row r="19" spans="1:32" s="49" customFormat="1" ht="58.5" customHeight="1" x14ac:dyDescent="0.25">
      <c r="A19" s="103" t="str">
        <f t="shared" si="1"/>
        <v>1d</v>
      </c>
      <c r="B19" s="233"/>
      <c r="C19" s="243"/>
      <c r="D19" s="230"/>
      <c r="E19" s="83" t="s">
        <v>42</v>
      </c>
      <c r="F19" s="85" t="s">
        <v>43</v>
      </c>
      <c r="G19" s="116" t="s">
        <v>39</v>
      </c>
      <c r="H19" s="117" t="s">
        <v>236</v>
      </c>
      <c r="I19" s="108" t="str">
        <f t="shared" si="2"/>
        <v>Mantenimiento del control</v>
      </c>
      <c r="J19" s="107">
        <f t="shared" si="0"/>
        <v>20</v>
      </c>
      <c r="K19" s="105">
        <v>0.123456</v>
      </c>
      <c r="L19" s="105">
        <f t="shared" si="3"/>
        <v>20.123456000000001</v>
      </c>
    </row>
    <row r="20" spans="1:32" s="49" customFormat="1" ht="71.25" customHeight="1" x14ac:dyDescent="0.25">
      <c r="A20" s="103" t="str">
        <f t="shared" si="1"/>
        <v>1e</v>
      </c>
      <c r="B20" s="233"/>
      <c r="C20" s="243"/>
      <c r="D20" s="230"/>
      <c r="E20" s="83" t="s">
        <v>44</v>
      </c>
      <c r="F20" s="85" t="s">
        <v>45</v>
      </c>
      <c r="G20" s="116" t="s">
        <v>76</v>
      </c>
      <c r="H20" s="117" t="s">
        <v>237</v>
      </c>
      <c r="I20" s="108" t="str">
        <f t="shared" si="2"/>
        <v>Oportunidad de mejora</v>
      </c>
      <c r="J20" s="107">
        <f t="shared" si="0"/>
        <v>10</v>
      </c>
      <c r="K20" s="105">
        <v>0.12345678</v>
      </c>
      <c r="L20" s="105">
        <f t="shared" si="3"/>
        <v>10.12345678</v>
      </c>
    </row>
    <row r="21" spans="1:32" s="49" customFormat="1" ht="109.5" customHeight="1" x14ac:dyDescent="0.25">
      <c r="A21" s="103" t="str">
        <f t="shared" si="1"/>
        <v>1f</v>
      </c>
      <c r="B21" s="233"/>
      <c r="C21" s="243"/>
      <c r="D21" s="230"/>
      <c r="E21" s="83" t="s">
        <v>46</v>
      </c>
      <c r="F21" s="85" t="s">
        <v>47</v>
      </c>
      <c r="G21" s="116" t="s">
        <v>76</v>
      </c>
      <c r="H21" s="117" t="s">
        <v>238</v>
      </c>
      <c r="I21" s="108" t="str">
        <f t="shared" si="2"/>
        <v>Oportunidad de mejora</v>
      </c>
      <c r="J21" s="107">
        <f t="shared" si="0"/>
        <v>10</v>
      </c>
      <c r="K21" s="105">
        <v>0.123456789</v>
      </c>
      <c r="L21" s="105">
        <f t="shared" si="3"/>
        <v>10.123456789</v>
      </c>
    </row>
    <row r="22" spans="1:32" s="49" customFormat="1" ht="124.5" customHeight="1" x14ac:dyDescent="0.25">
      <c r="A22" s="103" t="str">
        <f t="shared" si="1"/>
        <v>1g</v>
      </c>
      <c r="B22" s="233"/>
      <c r="C22" s="243"/>
      <c r="D22" s="230"/>
      <c r="E22" s="83" t="s">
        <v>48</v>
      </c>
      <c r="F22" s="85" t="s">
        <v>49</v>
      </c>
      <c r="G22" s="116" t="s">
        <v>39</v>
      </c>
      <c r="H22" s="117" t="s">
        <v>214</v>
      </c>
      <c r="I22" s="108" t="str">
        <f t="shared" si="2"/>
        <v>Mantenimiento del control</v>
      </c>
      <c r="J22" s="107">
        <f t="shared" si="0"/>
        <v>20</v>
      </c>
      <c r="K22" s="105">
        <v>0.12345678910000001</v>
      </c>
      <c r="L22" s="105">
        <f t="shared" si="3"/>
        <v>20.1234567891</v>
      </c>
    </row>
    <row r="23" spans="1:32" s="49" customFormat="1" ht="150" customHeight="1" x14ac:dyDescent="0.25">
      <c r="A23" s="103" t="str">
        <f t="shared" si="1"/>
        <v>1h</v>
      </c>
      <c r="B23" s="233"/>
      <c r="C23" s="243"/>
      <c r="D23" s="230"/>
      <c r="E23" s="83" t="s">
        <v>50</v>
      </c>
      <c r="F23" s="85" t="s">
        <v>51</v>
      </c>
      <c r="G23" s="116" t="s">
        <v>39</v>
      </c>
      <c r="H23" s="117" t="s">
        <v>220</v>
      </c>
      <c r="I23" s="108" t="str">
        <f t="shared" si="2"/>
        <v>Mantenimiento del control</v>
      </c>
      <c r="J23" s="107">
        <f t="shared" si="0"/>
        <v>20</v>
      </c>
      <c r="K23" s="105">
        <v>0.12345678911999999</v>
      </c>
      <c r="L23" s="105">
        <f t="shared" si="3"/>
        <v>20.123456789119999</v>
      </c>
    </row>
    <row r="24" spans="1:32" s="49" customFormat="1" ht="100.5" customHeight="1" x14ac:dyDescent="0.25">
      <c r="A24" s="103" t="str">
        <f t="shared" si="1"/>
        <v>1i</v>
      </c>
      <c r="B24" s="233"/>
      <c r="C24" s="243"/>
      <c r="D24" s="230"/>
      <c r="E24" s="83" t="s">
        <v>52</v>
      </c>
      <c r="F24" s="85" t="s">
        <v>53</v>
      </c>
      <c r="G24" s="116" t="s">
        <v>36</v>
      </c>
      <c r="H24" s="117" t="s">
        <v>227</v>
      </c>
      <c r="I24" s="108" t="str">
        <f t="shared" si="2"/>
        <v>Deficiencia de control</v>
      </c>
      <c r="J24" s="107">
        <f t="shared" si="0"/>
        <v>0</v>
      </c>
      <c r="K24" s="105">
        <v>0.123456789123</v>
      </c>
      <c r="L24" s="105">
        <f t="shared" si="3"/>
        <v>0.123456789123</v>
      </c>
    </row>
    <row r="25" spans="1:32" s="49" customFormat="1" ht="109.5" customHeight="1" x14ac:dyDescent="0.25">
      <c r="A25" s="103" t="str">
        <f t="shared" si="1"/>
        <v>1j</v>
      </c>
      <c r="B25" s="233"/>
      <c r="C25" s="243"/>
      <c r="D25" s="230"/>
      <c r="E25" s="83" t="s">
        <v>54</v>
      </c>
      <c r="F25" s="85" t="s">
        <v>55</v>
      </c>
      <c r="G25" s="116" t="s">
        <v>39</v>
      </c>
      <c r="H25" s="117" t="s">
        <v>228</v>
      </c>
      <c r="I25" s="108" t="str">
        <f t="shared" si="2"/>
        <v>Mantenimiento del control</v>
      </c>
      <c r="J25" s="107">
        <f t="shared" si="0"/>
        <v>20</v>
      </c>
      <c r="K25" s="105">
        <v>0.1234567891234</v>
      </c>
      <c r="L25" s="105">
        <f t="shared" si="3"/>
        <v>20.123456789123399</v>
      </c>
    </row>
    <row r="26" spans="1:32" s="49" customFormat="1" ht="75.75" customHeight="1" x14ac:dyDescent="0.25">
      <c r="A26" s="103" t="str">
        <f t="shared" si="1"/>
        <v>1k</v>
      </c>
      <c r="B26" s="233"/>
      <c r="C26" s="243"/>
      <c r="D26" s="230"/>
      <c r="E26" s="83" t="s">
        <v>56</v>
      </c>
      <c r="F26" s="85" t="s">
        <v>57</v>
      </c>
      <c r="G26" s="116" t="s">
        <v>39</v>
      </c>
      <c r="H26" s="117" t="s">
        <v>229</v>
      </c>
      <c r="I26" s="108" t="str">
        <f t="shared" si="2"/>
        <v>Mantenimiento del control</v>
      </c>
      <c r="J26" s="107">
        <f t="shared" si="0"/>
        <v>20</v>
      </c>
      <c r="K26" s="105">
        <v>0.12345678912345</v>
      </c>
      <c r="L26" s="105">
        <f t="shared" si="3"/>
        <v>20.123456789123448</v>
      </c>
    </row>
    <row r="27" spans="1:32" s="49" customFormat="1" ht="100.5" customHeight="1" thickBot="1" x14ac:dyDescent="0.3">
      <c r="A27" s="103" t="str">
        <f t="shared" si="1"/>
        <v>1l</v>
      </c>
      <c r="B27" s="234"/>
      <c r="C27" s="244"/>
      <c r="D27" s="231"/>
      <c r="E27" s="86" t="s">
        <v>58</v>
      </c>
      <c r="F27" s="87" t="s">
        <v>59</v>
      </c>
      <c r="G27" s="164" t="s">
        <v>39</v>
      </c>
      <c r="H27" s="119" t="s">
        <v>224</v>
      </c>
      <c r="I27" s="109" t="str">
        <f t="shared" si="2"/>
        <v>Mantenimiento del control</v>
      </c>
      <c r="J27" s="107">
        <f t="shared" si="0"/>
        <v>20</v>
      </c>
      <c r="K27" s="105">
        <v>0.12345678912345601</v>
      </c>
      <c r="L27" s="105">
        <f t="shared" si="3"/>
        <v>20.123456789123455</v>
      </c>
    </row>
    <row r="28" spans="1:32" s="49" customFormat="1" ht="91.5" customHeight="1" x14ac:dyDescent="0.25">
      <c r="A28" s="103" t="str">
        <f>2&amp;E28</f>
        <v>2a</v>
      </c>
      <c r="B28" s="235" t="s">
        <v>60</v>
      </c>
      <c r="C28" s="245" t="s">
        <v>61</v>
      </c>
      <c r="D28" s="238" t="s">
        <v>62</v>
      </c>
      <c r="E28" s="81" t="s">
        <v>34</v>
      </c>
      <c r="F28" s="82" t="s">
        <v>63</v>
      </c>
      <c r="G28" s="112" t="s">
        <v>39</v>
      </c>
      <c r="H28" s="113" t="s">
        <v>230</v>
      </c>
      <c r="I28" s="104" t="str">
        <f t="shared" si="2"/>
        <v>Mantenimiento del control</v>
      </c>
      <c r="J28" s="105">
        <f>+IF(G28="Si",40,IF(G28="En proceso",30,20))</f>
        <v>40</v>
      </c>
      <c r="K28" s="105">
        <v>0.23</v>
      </c>
      <c r="L28" s="105">
        <f t="shared" si="3"/>
        <v>40.229999999999997</v>
      </c>
    </row>
    <row r="29" spans="1:32" s="49" customFormat="1" ht="66" x14ac:dyDescent="0.25">
      <c r="A29" s="103" t="str">
        <f t="shared" ref="A29:A31" si="4">2&amp;E29</f>
        <v>2b</v>
      </c>
      <c r="B29" s="236"/>
      <c r="C29" s="246"/>
      <c r="D29" s="239"/>
      <c r="E29" s="83" t="s">
        <v>37</v>
      </c>
      <c r="F29" s="85" t="s">
        <v>64</v>
      </c>
      <c r="G29" s="116" t="s">
        <v>76</v>
      </c>
      <c r="H29" s="117" t="s">
        <v>231</v>
      </c>
      <c r="I29" s="108" t="str">
        <f t="shared" si="2"/>
        <v>Oportunidad de mejora</v>
      </c>
      <c r="J29" s="105">
        <f>+IF(G29="Si",40,IF(G29="En proceso",30,20))</f>
        <v>30</v>
      </c>
      <c r="K29" s="105">
        <v>0.23400000000000001</v>
      </c>
      <c r="L29" s="105">
        <f t="shared" si="3"/>
        <v>30.234000000000002</v>
      </c>
    </row>
    <row r="30" spans="1:32" s="49" customFormat="1" ht="49.5" x14ac:dyDescent="0.25">
      <c r="A30" s="103" t="str">
        <f t="shared" si="4"/>
        <v>2c</v>
      </c>
      <c r="B30" s="236"/>
      <c r="C30" s="246"/>
      <c r="D30" s="239"/>
      <c r="E30" s="83" t="s">
        <v>40</v>
      </c>
      <c r="F30" s="85" t="s">
        <v>65</v>
      </c>
      <c r="G30" s="116" t="s">
        <v>76</v>
      </c>
      <c r="H30" s="117" t="s">
        <v>198</v>
      </c>
      <c r="I30" s="108" t="str">
        <f t="shared" si="2"/>
        <v>Oportunidad de mejora</v>
      </c>
      <c r="J30" s="105">
        <f>+IF(G30="Si",40,IF(G30="En proceso",30,20))</f>
        <v>30</v>
      </c>
      <c r="K30" s="105">
        <v>0.23449999999999999</v>
      </c>
      <c r="L30" s="105">
        <f t="shared" si="3"/>
        <v>30.234500000000001</v>
      </c>
    </row>
    <row r="31" spans="1:32" s="49" customFormat="1" ht="132.75" thickBot="1" x14ac:dyDescent="0.3">
      <c r="A31" s="103" t="str">
        <f t="shared" si="4"/>
        <v>2d</v>
      </c>
      <c r="B31" s="237"/>
      <c r="C31" s="247"/>
      <c r="D31" s="240"/>
      <c r="E31" s="86" t="s">
        <v>42</v>
      </c>
      <c r="F31" s="87" t="s">
        <v>66</v>
      </c>
      <c r="G31" s="118" t="s">
        <v>217</v>
      </c>
      <c r="H31" s="119" t="s">
        <v>218</v>
      </c>
      <c r="I31" s="109" t="str">
        <f t="shared" si="2"/>
        <v>Deficiencia de control</v>
      </c>
      <c r="J31" s="105">
        <f>+IF(G31="Si",40,IF(G31="En proceso",30,20))</f>
        <v>20</v>
      </c>
      <c r="K31" s="105">
        <v>0.23455999999999999</v>
      </c>
      <c r="L31" s="105">
        <f t="shared" si="3"/>
        <v>20.234559999999998</v>
      </c>
    </row>
    <row r="32" spans="1:32" s="49" customFormat="1" ht="83.25" customHeight="1" x14ac:dyDescent="0.25">
      <c r="A32" s="103" t="str">
        <f>3&amp;E32</f>
        <v>3a</v>
      </c>
      <c r="B32" s="257" t="s">
        <v>67</v>
      </c>
      <c r="C32" s="257" t="s">
        <v>61</v>
      </c>
      <c r="D32" s="258" t="s">
        <v>68</v>
      </c>
      <c r="E32" s="88" t="s">
        <v>34</v>
      </c>
      <c r="F32" s="85" t="s">
        <v>69</v>
      </c>
      <c r="G32" s="116" t="s">
        <v>39</v>
      </c>
      <c r="H32" s="117" t="s">
        <v>221</v>
      </c>
      <c r="I32" s="108" t="str">
        <f t="shared" si="2"/>
        <v>Mantenimiento del control</v>
      </c>
      <c r="J32" s="105">
        <f t="shared" ref="J32:J37" si="5">+IF(G32="Si",40,IF(G32="En proceso",30,20))</f>
        <v>40</v>
      </c>
      <c r="K32" s="110">
        <v>0.234567</v>
      </c>
      <c r="L32" s="105">
        <f t="shared" ref="L32:L37" si="6">+J32+K32</f>
        <v>40.234566999999998</v>
      </c>
      <c r="M32" s="48"/>
      <c r="N32" s="48"/>
      <c r="O32" s="48"/>
      <c r="P32" s="48"/>
      <c r="Q32" s="48"/>
      <c r="R32" s="48"/>
      <c r="S32" s="48"/>
      <c r="T32" s="48"/>
      <c r="U32" s="48"/>
      <c r="V32" s="48"/>
      <c r="W32" s="48"/>
      <c r="X32" s="48"/>
      <c r="Y32" s="48"/>
      <c r="Z32" s="48"/>
      <c r="AA32" s="48"/>
      <c r="AB32" s="48"/>
      <c r="AC32" s="48"/>
      <c r="AD32" s="48"/>
      <c r="AE32" s="48"/>
      <c r="AF32" s="48"/>
    </row>
    <row r="33" spans="1:32" s="49" customFormat="1" ht="63.75" customHeight="1" x14ac:dyDescent="0.25">
      <c r="A33" s="103" t="str">
        <f t="shared" ref="A33:A34" si="7">3&amp;E33</f>
        <v>3b</v>
      </c>
      <c r="B33" s="257"/>
      <c r="C33" s="257"/>
      <c r="D33" s="258"/>
      <c r="E33" s="88" t="s">
        <v>37</v>
      </c>
      <c r="F33" s="85" t="s">
        <v>70</v>
      </c>
      <c r="G33" s="116" t="s">
        <v>76</v>
      </c>
      <c r="H33" s="117" t="s">
        <v>211</v>
      </c>
      <c r="I33" s="108" t="str">
        <f t="shared" si="2"/>
        <v>Oportunidad de mejora</v>
      </c>
      <c r="J33" s="105">
        <f t="shared" si="5"/>
        <v>30</v>
      </c>
      <c r="K33" s="110">
        <v>0.23456779999999999</v>
      </c>
      <c r="L33" s="105">
        <f t="shared" si="6"/>
        <v>30.234567800000001</v>
      </c>
      <c r="M33" s="48"/>
      <c r="N33" s="48"/>
      <c r="O33" s="48"/>
      <c r="P33" s="48"/>
      <c r="Q33" s="48"/>
      <c r="R33" s="48"/>
      <c r="S33" s="48"/>
      <c r="T33" s="48"/>
      <c r="U33" s="48"/>
      <c r="V33" s="48"/>
      <c r="W33" s="48"/>
      <c r="X33" s="48"/>
      <c r="Y33" s="48"/>
      <c r="Z33" s="48"/>
      <c r="AA33" s="48"/>
      <c r="AB33" s="48"/>
      <c r="AC33" s="48"/>
      <c r="AD33" s="48"/>
      <c r="AE33" s="48"/>
      <c r="AF33" s="48"/>
    </row>
    <row r="34" spans="1:32" s="49" customFormat="1" ht="66" customHeight="1" thickBot="1" x14ac:dyDescent="0.3">
      <c r="A34" s="103" t="str">
        <f t="shared" si="7"/>
        <v>3c</v>
      </c>
      <c r="B34" s="257"/>
      <c r="C34" s="257"/>
      <c r="D34" s="258"/>
      <c r="E34" s="88" t="s">
        <v>40</v>
      </c>
      <c r="F34" s="85" t="s">
        <v>71</v>
      </c>
      <c r="G34" s="165" t="s">
        <v>39</v>
      </c>
      <c r="H34" s="117" t="s">
        <v>215</v>
      </c>
      <c r="I34" s="108" t="str">
        <f t="shared" si="2"/>
        <v>Mantenimiento del control</v>
      </c>
      <c r="J34" s="105">
        <f t="shared" si="5"/>
        <v>40</v>
      </c>
      <c r="K34" s="110">
        <v>0.23456789</v>
      </c>
      <c r="L34" s="105">
        <f t="shared" si="6"/>
        <v>40.234567890000001</v>
      </c>
      <c r="M34" s="48"/>
      <c r="N34" s="48"/>
      <c r="O34" s="48"/>
      <c r="P34" s="48"/>
      <c r="Q34" s="48"/>
      <c r="R34" s="48"/>
      <c r="S34" s="48"/>
      <c r="T34" s="48"/>
      <c r="U34" s="48"/>
      <c r="V34" s="48"/>
      <c r="W34" s="48"/>
      <c r="X34" s="48"/>
      <c r="Y34" s="48"/>
      <c r="Z34" s="48"/>
      <c r="AA34" s="48"/>
      <c r="AB34" s="48"/>
      <c r="AC34" s="48"/>
      <c r="AD34" s="48"/>
      <c r="AE34" s="48"/>
      <c r="AF34" s="48"/>
    </row>
    <row r="35" spans="1:32" s="49" customFormat="1" ht="82.5" customHeight="1" x14ac:dyDescent="0.25">
      <c r="A35" s="103" t="str">
        <f>4&amp;E35</f>
        <v>4a</v>
      </c>
      <c r="B35" s="259" t="s">
        <v>72</v>
      </c>
      <c r="C35" s="246" t="s">
        <v>61</v>
      </c>
      <c r="D35" s="239" t="s">
        <v>73</v>
      </c>
      <c r="E35" s="81" t="s">
        <v>34</v>
      </c>
      <c r="F35" s="82" t="s">
        <v>74</v>
      </c>
      <c r="G35" s="112" t="s">
        <v>39</v>
      </c>
      <c r="H35" s="113" t="s">
        <v>203</v>
      </c>
      <c r="I35" s="104" t="str">
        <f t="shared" si="2"/>
        <v>Mantenimiento del control</v>
      </c>
      <c r="J35" s="105">
        <f t="shared" si="5"/>
        <v>40</v>
      </c>
      <c r="K35" s="110">
        <v>0.23456789119999999</v>
      </c>
      <c r="L35" s="105">
        <f t="shared" si="6"/>
        <v>40.234567891200001</v>
      </c>
      <c r="M35" s="48"/>
      <c r="N35" s="48"/>
      <c r="O35" s="48"/>
      <c r="P35" s="48"/>
      <c r="Q35" s="48"/>
    </row>
    <row r="36" spans="1:32" s="49" customFormat="1" ht="69.75" customHeight="1" x14ac:dyDescent="0.25">
      <c r="A36" s="103" t="str">
        <f t="shared" ref="A36:A37" si="8">4&amp;E36</f>
        <v>4b</v>
      </c>
      <c r="B36" s="259"/>
      <c r="C36" s="246"/>
      <c r="D36" s="239"/>
      <c r="E36" s="83" t="s">
        <v>37</v>
      </c>
      <c r="F36" s="85" t="s">
        <v>75</v>
      </c>
      <c r="G36" s="116" t="s">
        <v>76</v>
      </c>
      <c r="H36" s="117" t="s">
        <v>193</v>
      </c>
      <c r="I36" s="108" t="str">
        <f t="shared" si="2"/>
        <v>Oportunidad de mejora</v>
      </c>
      <c r="J36" s="105">
        <f t="shared" si="5"/>
        <v>30</v>
      </c>
      <c r="K36" s="110">
        <v>0.23456789122999999</v>
      </c>
      <c r="L36" s="105">
        <f t="shared" si="6"/>
        <v>30.23456789123</v>
      </c>
      <c r="M36" s="48"/>
      <c r="N36" s="48"/>
      <c r="O36" s="48"/>
      <c r="P36" s="48"/>
      <c r="Q36" s="48"/>
    </row>
    <row r="37" spans="1:32" s="49" customFormat="1" ht="49.5" customHeight="1" thickBot="1" x14ac:dyDescent="0.3">
      <c r="A37" s="103" t="str">
        <f t="shared" si="8"/>
        <v>4c</v>
      </c>
      <c r="B37" s="259"/>
      <c r="C37" s="246"/>
      <c r="D37" s="239"/>
      <c r="E37" s="83" t="s">
        <v>40</v>
      </c>
      <c r="F37" s="85" t="s">
        <v>77</v>
      </c>
      <c r="G37" s="116" t="s">
        <v>39</v>
      </c>
      <c r="H37" s="117" t="s">
        <v>232</v>
      </c>
      <c r="I37" s="108" t="str">
        <f t="shared" si="2"/>
        <v>Mantenimiento del control</v>
      </c>
      <c r="J37" s="105">
        <f t="shared" si="5"/>
        <v>40</v>
      </c>
      <c r="K37" s="110">
        <v>0.23456789123399999</v>
      </c>
      <c r="L37" s="105">
        <f t="shared" si="6"/>
        <v>40.234567891234001</v>
      </c>
      <c r="M37" s="48"/>
      <c r="N37" s="48"/>
      <c r="O37" s="48"/>
      <c r="P37" s="48"/>
      <c r="Q37" s="48"/>
    </row>
    <row r="38" spans="1:32" s="49" customFormat="1" ht="85.5" customHeight="1" x14ac:dyDescent="0.25">
      <c r="A38" s="103" t="str">
        <f>5&amp;E38</f>
        <v>5a</v>
      </c>
      <c r="B38" s="260" t="s">
        <v>78</v>
      </c>
      <c r="C38" s="248" t="s">
        <v>79</v>
      </c>
      <c r="D38" s="263" t="s">
        <v>80</v>
      </c>
      <c r="E38" s="81" t="s">
        <v>34</v>
      </c>
      <c r="F38" s="89" t="s">
        <v>81</v>
      </c>
      <c r="G38" s="120" t="s">
        <v>39</v>
      </c>
      <c r="H38" s="121" t="s">
        <v>204</v>
      </c>
      <c r="I38" s="111" t="str">
        <f t="shared" si="2"/>
        <v>Mantenimiento del control</v>
      </c>
      <c r="J38" s="105">
        <f>+IF(G38="Si",60,IF(G38="En proceso",50,40))</f>
        <v>60</v>
      </c>
      <c r="K38" s="105">
        <v>0.31</v>
      </c>
      <c r="L38" s="105">
        <f t="shared" si="3"/>
        <v>60.31</v>
      </c>
    </row>
    <row r="39" spans="1:32" s="49" customFormat="1" ht="63" x14ac:dyDescent="0.25">
      <c r="A39" s="103" t="str">
        <f t="shared" ref="A39:A42" si="9">5&amp;E39</f>
        <v>5b</v>
      </c>
      <c r="B39" s="261"/>
      <c r="C39" s="249"/>
      <c r="D39" s="264"/>
      <c r="E39" s="83" t="s">
        <v>37</v>
      </c>
      <c r="F39" s="85" t="s">
        <v>82</v>
      </c>
      <c r="G39" s="116" t="s">
        <v>76</v>
      </c>
      <c r="H39" s="117" t="s">
        <v>205</v>
      </c>
      <c r="I39" s="108" t="str">
        <f t="shared" si="2"/>
        <v>Oportunidad de mejora</v>
      </c>
      <c r="J39" s="105">
        <f>+IF(G39="Si",60,IF(G39="En proceso",50,40))</f>
        <v>50</v>
      </c>
      <c r="K39" s="105">
        <v>0.32300000000000001</v>
      </c>
      <c r="L39" s="105">
        <f t="shared" si="3"/>
        <v>50.323</v>
      </c>
    </row>
    <row r="40" spans="1:32" s="49" customFormat="1" ht="47.25" x14ac:dyDescent="0.25">
      <c r="A40" s="103" t="str">
        <f t="shared" si="9"/>
        <v>5c</v>
      </c>
      <c r="B40" s="261"/>
      <c r="C40" s="249"/>
      <c r="D40" s="264"/>
      <c r="E40" s="83" t="s">
        <v>40</v>
      </c>
      <c r="F40" s="85" t="s">
        <v>83</v>
      </c>
      <c r="G40" s="116" t="s">
        <v>76</v>
      </c>
      <c r="H40" s="117" t="s">
        <v>206</v>
      </c>
      <c r="I40" s="108" t="str">
        <f t="shared" si="2"/>
        <v>Oportunidad de mejora</v>
      </c>
      <c r="J40" s="105">
        <f>+IF(G40="Si",60,IF(G40="En proceso",50,40))</f>
        <v>50</v>
      </c>
      <c r="K40" s="105">
        <v>0.32400000000000001</v>
      </c>
      <c r="L40" s="105">
        <f t="shared" si="3"/>
        <v>50.323999999999998</v>
      </c>
    </row>
    <row r="41" spans="1:32" s="49" customFormat="1" ht="94.5" x14ac:dyDescent="0.25">
      <c r="A41" s="103" t="str">
        <f t="shared" si="9"/>
        <v>5d</v>
      </c>
      <c r="B41" s="261"/>
      <c r="C41" s="249"/>
      <c r="D41" s="264"/>
      <c r="E41" s="83" t="s">
        <v>42</v>
      </c>
      <c r="F41" s="85" t="s">
        <v>84</v>
      </c>
      <c r="G41" s="116" t="s">
        <v>76</v>
      </c>
      <c r="H41" s="117" t="s">
        <v>233</v>
      </c>
      <c r="I41" s="108" t="str">
        <f t="shared" si="2"/>
        <v>Oportunidad de mejora</v>
      </c>
      <c r="J41" s="105">
        <f>+IF(G41="Si",60,IF(G41="En proceso",50,40))</f>
        <v>50</v>
      </c>
      <c r="K41" s="105">
        <v>0.32500000000000001</v>
      </c>
      <c r="L41" s="105">
        <f t="shared" si="3"/>
        <v>50.325000000000003</v>
      </c>
    </row>
    <row r="42" spans="1:32" s="49" customFormat="1" ht="50.25" thickBot="1" x14ac:dyDescent="0.3">
      <c r="A42" s="103" t="str">
        <f t="shared" si="9"/>
        <v>5e</v>
      </c>
      <c r="B42" s="262"/>
      <c r="C42" s="250"/>
      <c r="D42" s="265"/>
      <c r="E42" s="86" t="s">
        <v>44</v>
      </c>
      <c r="F42" s="87" t="s">
        <v>85</v>
      </c>
      <c r="G42" s="118" t="s">
        <v>39</v>
      </c>
      <c r="H42" s="119" t="s">
        <v>192</v>
      </c>
      <c r="I42" s="109" t="str">
        <f t="shared" si="2"/>
        <v>Mantenimiento del control</v>
      </c>
      <c r="J42" s="105">
        <f>+IF(G42="Si",60,IF(G42="En proceso",50,40))</f>
        <v>60</v>
      </c>
      <c r="K42" s="105">
        <v>0.32600000000000001</v>
      </c>
      <c r="L42" s="105">
        <f t="shared" si="3"/>
        <v>60.326000000000001</v>
      </c>
    </row>
    <row r="43" spans="1:32" s="49" customFormat="1" ht="80.25" customHeight="1" x14ac:dyDescent="0.25">
      <c r="A43" s="103" t="str">
        <f>6&amp;E43</f>
        <v>6a</v>
      </c>
      <c r="B43" s="220" t="s">
        <v>86</v>
      </c>
      <c r="C43" s="251" t="s">
        <v>87</v>
      </c>
      <c r="D43" s="217" t="s">
        <v>88</v>
      </c>
      <c r="E43" s="81" t="s">
        <v>34</v>
      </c>
      <c r="F43" s="82" t="s">
        <v>89</v>
      </c>
      <c r="G43" s="112" t="s">
        <v>39</v>
      </c>
      <c r="H43" s="113" t="s">
        <v>199</v>
      </c>
      <c r="I43" s="104" t="str">
        <f t="shared" si="2"/>
        <v>Mantenimiento del control</v>
      </c>
      <c r="J43" s="105">
        <f t="shared" ref="J43:J49" si="10">+IF(G43="Si",80,IF(G43="En proceso",70,60))</f>
        <v>80</v>
      </c>
      <c r="K43" s="105">
        <v>0.41199999999999998</v>
      </c>
      <c r="L43" s="105">
        <f t="shared" si="3"/>
        <v>80.412000000000006</v>
      </c>
    </row>
    <row r="44" spans="1:32" s="49" customFormat="1" ht="61.5" customHeight="1" x14ac:dyDescent="0.25">
      <c r="A44" s="103" t="str">
        <f t="shared" ref="A44:A49" si="11">6&amp;E44</f>
        <v>6b</v>
      </c>
      <c r="B44" s="221"/>
      <c r="C44" s="252"/>
      <c r="D44" s="218"/>
      <c r="E44" s="83" t="s">
        <v>37</v>
      </c>
      <c r="F44" s="85" t="s">
        <v>90</v>
      </c>
      <c r="G44" s="166" t="s">
        <v>39</v>
      </c>
      <c r="H44" s="117" t="s">
        <v>207</v>
      </c>
      <c r="I44" s="108" t="str">
        <f t="shared" si="2"/>
        <v>Mantenimiento del control</v>
      </c>
      <c r="J44" s="105">
        <f t="shared" si="10"/>
        <v>80</v>
      </c>
      <c r="K44" s="105">
        <v>0.4123</v>
      </c>
      <c r="L44" s="105">
        <f t="shared" si="3"/>
        <v>80.412300000000002</v>
      </c>
    </row>
    <row r="45" spans="1:32" s="49" customFormat="1" ht="171.75" customHeight="1" x14ac:dyDescent="0.25">
      <c r="A45" s="103" t="str">
        <f t="shared" si="11"/>
        <v>6c</v>
      </c>
      <c r="B45" s="221"/>
      <c r="C45" s="252"/>
      <c r="D45" s="218"/>
      <c r="E45" s="83" t="s">
        <v>40</v>
      </c>
      <c r="F45" s="85" t="s">
        <v>91</v>
      </c>
      <c r="G45" s="116" t="s">
        <v>39</v>
      </c>
      <c r="H45" s="117" t="s">
        <v>222</v>
      </c>
      <c r="I45" s="108" t="str">
        <f t="shared" si="2"/>
        <v>Mantenimiento del control</v>
      </c>
      <c r="J45" s="105">
        <f t="shared" si="10"/>
        <v>80</v>
      </c>
      <c r="K45" s="105">
        <v>0.41233999999999998</v>
      </c>
      <c r="L45" s="105">
        <f t="shared" si="3"/>
        <v>80.41234</v>
      </c>
    </row>
    <row r="46" spans="1:32" s="49" customFormat="1" ht="119.25" customHeight="1" x14ac:dyDescent="0.25">
      <c r="A46" s="103" t="str">
        <f t="shared" si="11"/>
        <v>6d</v>
      </c>
      <c r="B46" s="221"/>
      <c r="C46" s="252"/>
      <c r="D46" s="218"/>
      <c r="E46" s="83" t="s">
        <v>42</v>
      </c>
      <c r="F46" s="85" t="s">
        <v>92</v>
      </c>
      <c r="G46" s="116" t="s">
        <v>76</v>
      </c>
      <c r="H46" s="117" t="s">
        <v>223</v>
      </c>
      <c r="I46" s="108" t="str">
        <f t="shared" si="2"/>
        <v>Oportunidad de mejora</v>
      </c>
      <c r="J46" s="105">
        <f t="shared" si="10"/>
        <v>70</v>
      </c>
      <c r="K46" s="105">
        <v>0.41234500000000002</v>
      </c>
      <c r="L46" s="105">
        <f t="shared" si="3"/>
        <v>70.412345000000002</v>
      </c>
    </row>
    <row r="47" spans="1:32" s="49" customFormat="1" ht="89.25" customHeight="1" x14ac:dyDescent="0.25">
      <c r="A47" s="103" t="str">
        <f t="shared" si="11"/>
        <v>6e</v>
      </c>
      <c r="B47" s="221"/>
      <c r="C47" s="252"/>
      <c r="D47" s="218"/>
      <c r="E47" s="83" t="s">
        <v>44</v>
      </c>
      <c r="F47" s="85" t="s">
        <v>93</v>
      </c>
      <c r="G47" s="116" t="s">
        <v>39</v>
      </c>
      <c r="H47" s="117" t="s">
        <v>212</v>
      </c>
      <c r="I47" s="108" t="str">
        <f t="shared" si="2"/>
        <v>Mantenimiento del control</v>
      </c>
      <c r="J47" s="105">
        <f t="shared" si="10"/>
        <v>80</v>
      </c>
      <c r="K47" s="105">
        <v>0.41234559999999998</v>
      </c>
      <c r="L47" s="105">
        <f t="shared" si="3"/>
        <v>80.412345599999995</v>
      </c>
    </row>
    <row r="48" spans="1:32" s="49" customFormat="1" ht="66" x14ac:dyDescent="0.25">
      <c r="A48" s="103" t="str">
        <f t="shared" si="11"/>
        <v>6f</v>
      </c>
      <c r="B48" s="221"/>
      <c r="C48" s="252"/>
      <c r="D48" s="218"/>
      <c r="E48" s="83" t="s">
        <v>46</v>
      </c>
      <c r="F48" s="85" t="s">
        <v>94</v>
      </c>
      <c r="G48" s="116" t="s">
        <v>39</v>
      </c>
      <c r="H48" s="117" t="s">
        <v>195</v>
      </c>
      <c r="I48" s="108" t="str">
        <f t="shared" si="2"/>
        <v>Mantenimiento del control</v>
      </c>
      <c r="J48" s="105">
        <f t="shared" si="10"/>
        <v>80</v>
      </c>
      <c r="K48" s="105">
        <v>0.41234567</v>
      </c>
      <c r="L48" s="105">
        <f t="shared" si="3"/>
        <v>80.412345669999993</v>
      </c>
    </row>
    <row r="49" spans="1:17" s="49" customFormat="1" ht="48" thickBot="1" x14ac:dyDescent="0.3">
      <c r="A49" s="103" t="str">
        <f t="shared" si="11"/>
        <v>6g</v>
      </c>
      <c r="B49" s="222"/>
      <c r="C49" s="253"/>
      <c r="D49" s="219"/>
      <c r="E49" s="86" t="s">
        <v>48</v>
      </c>
      <c r="F49" s="87" t="s">
        <v>95</v>
      </c>
      <c r="G49" s="118" t="s">
        <v>36</v>
      </c>
      <c r="H49" s="119" t="s">
        <v>208</v>
      </c>
      <c r="I49" s="109" t="str">
        <f t="shared" si="2"/>
        <v>Deficiencia de control</v>
      </c>
      <c r="J49" s="105">
        <f t="shared" si="10"/>
        <v>60</v>
      </c>
      <c r="K49" s="105">
        <v>0.41234567799999999</v>
      </c>
      <c r="L49" s="105">
        <f t="shared" si="3"/>
        <v>60.412345678000001</v>
      </c>
    </row>
    <row r="50" spans="1:17" s="49" customFormat="1" ht="92.25" customHeight="1" x14ac:dyDescent="0.25">
      <c r="A50" s="103" t="str">
        <f>7&amp;E50</f>
        <v>7a</v>
      </c>
      <c r="B50" s="226" t="s">
        <v>96</v>
      </c>
      <c r="C50" s="254" t="s">
        <v>97</v>
      </c>
      <c r="D50" s="223" t="s">
        <v>98</v>
      </c>
      <c r="E50" s="81" t="s">
        <v>34</v>
      </c>
      <c r="F50" s="82" t="s">
        <v>99</v>
      </c>
      <c r="G50" s="112" t="s">
        <v>39</v>
      </c>
      <c r="H50" s="113" t="s">
        <v>210</v>
      </c>
      <c r="I50" s="104" t="str">
        <f t="shared" si="2"/>
        <v>Mantenimiento del control</v>
      </c>
      <c r="J50" s="105">
        <f>+IF(G50="Si",120,IF(G50="En proceso",100,80))</f>
        <v>120</v>
      </c>
      <c r="K50" s="105">
        <v>0.85099999999999998</v>
      </c>
      <c r="L50" s="105">
        <f t="shared" si="3"/>
        <v>120.851</v>
      </c>
    </row>
    <row r="51" spans="1:17" s="49" customFormat="1" ht="132" x14ac:dyDescent="0.25">
      <c r="A51" s="103" t="str">
        <f t="shared" ref="A51:A53" si="12">7&amp;E51</f>
        <v>7d</v>
      </c>
      <c r="B51" s="227"/>
      <c r="C51" s="255"/>
      <c r="D51" s="224"/>
      <c r="E51" s="83" t="s">
        <v>42</v>
      </c>
      <c r="F51" s="85" t="s">
        <v>100</v>
      </c>
      <c r="G51" s="116" t="s">
        <v>39</v>
      </c>
      <c r="H51" s="117" t="s">
        <v>201</v>
      </c>
      <c r="I51" s="108" t="str">
        <f t="shared" si="2"/>
        <v>Mantenimiento del control</v>
      </c>
      <c r="J51" s="105">
        <f t="shared" ref="J51:J59" si="13">+IF(G51="Si",120,IF(G51="En proceso",100,80))</f>
        <v>120</v>
      </c>
      <c r="K51" s="105">
        <v>0.85119999999999996</v>
      </c>
      <c r="L51" s="105">
        <f t="shared" si="3"/>
        <v>120.85120000000001</v>
      </c>
    </row>
    <row r="52" spans="1:17" s="49" customFormat="1" ht="47.25" x14ac:dyDescent="0.25">
      <c r="A52" s="103" t="str">
        <f t="shared" si="12"/>
        <v>7f</v>
      </c>
      <c r="B52" s="227"/>
      <c r="C52" s="255"/>
      <c r="D52" s="224"/>
      <c r="E52" s="83" t="s">
        <v>46</v>
      </c>
      <c r="F52" s="85" t="s">
        <v>101</v>
      </c>
      <c r="G52" s="116" t="s">
        <v>39</v>
      </c>
      <c r="H52" s="117" t="s">
        <v>216</v>
      </c>
      <c r="I52" s="108" t="str">
        <f t="shared" si="2"/>
        <v>Mantenimiento del control</v>
      </c>
      <c r="J52" s="105">
        <f t="shared" si="13"/>
        <v>120</v>
      </c>
      <c r="K52" s="105">
        <v>0.85123000000000004</v>
      </c>
      <c r="L52" s="105">
        <f t="shared" si="3"/>
        <v>120.85123</v>
      </c>
    </row>
    <row r="53" spans="1:17" s="49" customFormat="1" ht="137.25" customHeight="1" thickBot="1" x14ac:dyDescent="0.3">
      <c r="A53" s="103" t="str">
        <f t="shared" si="12"/>
        <v>7g</v>
      </c>
      <c r="B53" s="228"/>
      <c r="C53" s="256"/>
      <c r="D53" s="225"/>
      <c r="E53" s="86" t="s">
        <v>48</v>
      </c>
      <c r="F53" s="87" t="s">
        <v>102</v>
      </c>
      <c r="G53" s="118" t="s">
        <v>39</v>
      </c>
      <c r="H53" s="119" t="s">
        <v>234</v>
      </c>
      <c r="I53" s="109" t="str">
        <f t="shared" si="2"/>
        <v>Mantenimiento del control</v>
      </c>
      <c r="J53" s="105">
        <f t="shared" si="13"/>
        <v>120</v>
      </c>
      <c r="K53" s="105">
        <v>0.85123400000000005</v>
      </c>
      <c r="L53" s="105">
        <f t="shared" si="3"/>
        <v>120.85123400000001</v>
      </c>
    </row>
    <row r="54" spans="1:17" s="49" customFormat="1" ht="102.75" customHeight="1" thickBot="1" x14ac:dyDescent="0.3">
      <c r="A54" s="103" t="str">
        <f>8&amp;E54</f>
        <v>8h</v>
      </c>
      <c r="B54" s="162" t="s">
        <v>103</v>
      </c>
      <c r="C54" s="163" t="s">
        <v>97</v>
      </c>
      <c r="D54" s="76" t="s">
        <v>104</v>
      </c>
      <c r="E54" s="81" t="s">
        <v>50</v>
      </c>
      <c r="F54" s="82" t="s">
        <v>105</v>
      </c>
      <c r="G54" s="112" t="s">
        <v>36</v>
      </c>
      <c r="H54" s="113" t="s">
        <v>209</v>
      </c>
      <c r="I54" s="104" t="str">
        <f t="shared" si="2"/>
        <v>Deficiencia de control</v>
      </c>
      <c r="J54" s="105">
        <f t="shared" si="13"/>
        <v>80</v>
      </c>
      <c r="K54" s="105">
        <v>0.85123450000000001</v>
      </c>
      <c r="L54" s="105">
        <f t="shared" si="3"/>
        <v>80.851234500000004</v>
      </c>
    </row>
    <row r="55" spans="1:17" s="49" customFormat="1" ht="66.75" customHeight="1" x14ac:dyDescent="0.25">
      <c r="A55" s="103" t="str">
        <f>9&amp;E55</f>
        <v>9a</v>
      </c>
      <c r="B55" s="226" t="s">
        <v>106</v>
      </c>
      <c r="C55" s="254" t="s">
        <v>97</v>
      </c>
      <c r="D55" s="223" t="s">
        <v>107</v>
      </c>
      <c r="E55" s="81" t="s">
        <v>34</v>
      </c>
      <c r="F55" s="82" t="s">
        <v>108</v>
      </c>
      <c r="G55" s="112" t="s">
        <v>39</v>
      </c>
      <c r="H55" s="113" t="s">
        <v>194</v>
      </c>
      <c r="I55" s="104" t="str">
        <f t="shared" si="2"/>
        <v>Mantenimiento del control</v>
      </c>
      <c r="J55" s="105">
        <f t="shared" si="13"/>
        <v>120</v>
      </c>
      <c r="K55" s="110">
        <v>0.85123455999999997</v>
      </c>
      <c r="L55" s="105">
        <f t="shared" si="3"/>
        <v>120.85123455999999</v>
      </c>
      <c r="M55" s="48"/>
      <c r="N55" s="48"/>
      <c r="O55" s="48"/>
      <c r="P55" s="48"/>
      <c r="Q55" s="48"/>
    </row>
    <row r="56" spans="1:17" s="49" customFormat="1" ht="77.25" customHeight="1" x14ac:dyDescent="0.25">
      <c r="A56" s="103" t="str">
        <f t="shared" ref="A56:A59" si="14">9&amp;E56</f>
        <v>9b</v>
      </c>
      <c r="B56" s="227"/>
      <c r="C56" s="255"/>
      <c r="D56" s="224"/>
      <c r="E56" s="83" t="s">
        <v>37</v>
      </c>
      <c r="F56" s="85" t="s">
        <v>109</v>
      </c>
      <c r="G56" s="116" t="s">
        <v>39</v>
      </c>
      <c r="H56" s="117" t="s">
        <v>202</v>
      </c>
      <c r="I56" s="108" t="str">
        <f t="shared" si="2"/>
        <v>Mantenimiento del control</v>
      </c>
      <c r="J56" s="105">
        <f t="shared" si="13"/>
        <v>120</v>
      </c>
      <c r="K56" s="110">
        <v>0.851234567</v>
      </c>
      <c r="L56" s="105">
        <f t="shared" si="3"/>
        <v>120.85123456700001</v>
      </c>
      <c r="M56" s="48"/>
      <c r="N56" s="48"/>
      <c r="O56" s="48"/>
      <c r="P56" s="48"/>
      <c r="Q56" s="48"/>
    </row>
    <row r="57" spans="1:17" s="49" customFormat="1" ht="77.25" customHeight="1" x14ac:dyDescent="0.25">
      <c r="A57" s="103" t="str">
        <f t="shared" si="14"/>
        <v>9c</v>
      </c>
      <c r="B57" s="227"/>
      <c r="C57" s="255"/>
      <c r="D57" s="224"/>
      <c r="E57" s="83" t="s">
        <v>40</v>
      </c>
      <c r="F57" s="85" t="s">
        <v>110</v>
      </c>
      <c r="G57" s="116" t="s">
        <v>76</v>
      </c>
      <c r="H57" s="117" t="s">
        <v>196</v>
      </c>
      <c r="I57" s="108" t="str">
        <f t="shared" si="2"/>
        <v>Oportunidad de mejora</v>
      </c>
      <c r="J57" s="105">
        <f t="shared" si="13"/>
        <v>100</v>
      </c>
      <c r="K57" s="110">
        <v>0.85123456779999995</v>
      </c>
      <c r="L57" s="105">
        <f t="shared" si="3"/>
        <v>100.85123456780001</v>
      </c>
      <c r="M57" s="48"/>
      <c r="N57" s="48"/>
      <c r="O57" s="48"/>
      <c r="P57" s="48"/>
      <c r="Q57" s="48"/>
    </row>
    <row r="58" spans="1:17" s="49" customFormat="1" ht="77.25" customHeight="1" x14ac:dyDescent="0.25">
      <c r="A58" s="103" t="str">
        <f t="shared" si="14"/>
        <v>9d</v>
      </c>
      <c r="B58" s="227"/>
      <c r="C58" s="255"/>
      <c r="D58" s="224"/>
      <c r="E58" s="83" t="s">
        <v>42</v>
      </c>
      <c r="F58" s="85" t="s">
        <v>111</v>
      </c>
      <c r="G58" s="116" t="s">
        <v>76</v>
      </c>
      <c r="H58" s="117" t="s">
        <v>197</v>
      </c>
      <c r="I58" s="108" t="str">
        <f t="shared" si="2"/>
        <v>Oportunidad de mejora</v>
      </c>
      <c r="J58" s="105">
        <f t="shared" si="13"/>
        <v>100</v>
      </c>
      <c r="K58" s="110">
        <v>0.85123456788999996</v>
      </c>
      <c r="L58" s="105">
        <f t="shared" si="3"/>
        <v>100.85123456789</v>
      </c>
      <c r="M58" s="48"/>
      <c r="N58" s="48"/>
      <c r="O58" s="48"/>
      <c r="P58" s="48"/>
      <c r="Q58" s="48"/>
    </row>
    <row r="59" spans="1:17" s="49" customFormat="1" ht="94.5" customHeight="1" thickBot="1" x14ac:dyDescent="0.3">
      <c r="A59" s="103" t="str">
        <f t="shared" si="14"/>
        <v>9e</v>
      </c>
      <c r="B59" s="228"/>
      <c r="C59" s="255"/>
      <c r="D59" s="241"/>
      <c r="E59" s="86" t="s">
        <v>44</v>
      </c>
      <c r="F59" s="87" t="s">
        <v>112</v>
      </c>
      <c r="G59" s="118" t="s">
        <v>39</v>
      </c>
      <c r="H59" s="119" t="s">
        <v>200</v>
      </c>
      <c r="I59" s="109" t="str">
        <f t="shared" si="2"/>
        <v>Mantenimiento del control</v>
      </c>
      <c r="J59" s="105">
        <f t="shared" si="13"/>
        <v>120</v>
      </c>
      <c r="K59" s="110">
        <v>0.85123456789100005</v>
      </c>
      <c r="L59" s="105">
        <f t="shared" si="3"/>
        <v>120.851234567891</v>
      </c>
      <c r="M59" s="48"/>
      <c r="N59" s="48"/>
      <c r="O59" s="48"/>
      <c r="P59" s="48"/>
      <c r="Q59" s="48"/>
    </row>
  </sheetData>
  <sheetProtection algorithmName="SHA-512" hashValue="3f8q67IhQ+195mCCu45JxrnKZ5NQYpYn/4DMJ1qNlLoW+1h5DdlwjNz0RDsqicEeH5OxPhf5j92R5BAeBl6Iaw==" saltValue="5vY6GrPfNxnRatmVvJafnA==" spinCount="100000" sheet="1" objects="1" scenarios="1" formatCells="0" formatColumns="0" formatRows="0"/>
  <mergeCells count="25">
    <mergeCell ref="D55:D59"/>
    <mergeCell ref="B55:B59"/>
    <mergeCell ref="C16:C27"/>
    <mergeCell ref="C28:C31"/>
    <mergeCell ref="C38:C42"/>
    <mergeCell ref="C43:C49"/>
    <mergeCell ref="C50:C53"/>
    <mergeCell ref="C32:C34"/>
    <mergeCell ref="C35:C37"/>
    <mergeCell ref="C55:C59"/>
    <mergeCell ref="D32:D34"/>
    <mergeCell ref="B32:B34"/>
    <mergeCell ref="B35:B37"/>
    <mergeCell ref="D35:D37"/>
    <mergeCell ref="B38:B42"/>
    <mergeCell ref="D38:D42"/>
    <mergeCell ref="B14:I14"/>
    <mergeCell ref="D43:D49"/>
    <mergeCell ref="B43:B49"/>
    <mergeCell ref="D50:D53"/>
    <mergeCell ref="B50:B53"/>
    <mergeCell ref="D16:D27"/>
    <mergeCell ref="B16:B27"/>
    <mergeCell ref="B28:B31"/>
    <mergeCell ref="D28:D31"/>
  </mergeCells>
  <dataValidations count="2">
    <dataValidation type="list" allowBlank="1" showInputMessage="1" showErrorMessage="1" sqref="G55:G59 G16:G53">
      <formula1>"Si, No, En proceso"</formula1>
    </dataValidation>
    <dataValidation type="list" allowBlank="1" showInputMessage="1" showErrorMessage="1" sqref="G54">
      <formula1>"Si, No"</formula1>
    </dataValidation>
  </dataValidation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4"/>
  <sheetViews>
    <sheetView topLeftCell="A28" zoomScale="80" zoomScaleNormal="80" workbookViewId="0">
      <selection activeCell="E47" sqref="E47"/>
    </sheetView>
  </sheetViews>
  <sheetFormatPr baseColWidth="10" defaultColWidth="11.42578125" defaultRowHeight="15" x14ac:dyDescent="0.25"/>
  <cols>
    <col min="3" max="3" width="22.85546875" customWidth="1"/>
    <col min="4" max="4" width="22.5703125" customWidth="1"/>
    <col min="5" max="5" width="53.42578125" customWidth="1"/>
    <col min="7" max="7" width="28.28515625" customWidth="1"/>
    <col min="8" max="8" width="4.85546875" customWidth="1"/>
    <col min="9" max="9" width="15.28515625" customWidth="1"/>
    <col min="10" max="10" width="22.42578125" customWidth="1"/>
    <col min="11" max="29" width="11.42578125" style="1"/>
  </cols>
  <sheetData>
    <row r="1" spans="1:11" x14ac:dyDescent="0.25">
      <c r="A1" s="1"/>
      <c r="B1" s="1"/>
      <c r="C1" s="1"/>
      <c r="D1" s="1"/>
      <c r="E1" s="1"/>
      <c r="F1" s="1"/>
      <c r="G1" s="1"/>
      <c r="H1" s="1"/>
      <c r="I1" s="1"/>
      <c r="J1" s="1"/>
    </row>
    <row r="2" spans="1:11" s="1" customFormat="1" x14ac:dyDescent="0.25"/>
    <row r="3" spans="1:11" s="1" customFormat="1" x14ac:dyDescent="0.25"/>
    <row r="4" spans="1:11" x14ac:dyDescent="0.25">
      <c r="A4" s="1"/>
      <c r="B4" s="1"/>
      <c r="C4" s="1"/>
      <c r="D4" s="1"/>
      <c r="E4" s="1"/>
      <c r="F4" s="1"/>
      <c r="G4" s="1"/>
      <c r="H4" s="1"/>
      <c r="I4" s="1"/>
      <c r="J4" s="1"/>
    </row>
    <row r="5" spans="1:11" x14ac:dyDescent="0.25">
      <c r="A5" s="1"/>
      <c r="B5" s="1"/>
      <c r="C5" s="1"/>
      <c r="D5" s="1"/>
      <c r="E5" s="1"/>
      <c r="F5" s="1"/>
      <c r="G5" s="1"/>
      <c r="H5" s="1"/>
      <c r="I5" s="1"/>
      <c r="J5" s="1"/>
    </row>
    <row r="6" spans="1:11" ht="15.75" thickBot="1" x14ac:dyDescent="0.3">
      <c r="A6" s="1"/>
      <c r="B6" s="1"/>
      <c r="C6" s="1"/>
      <c r="D6" s="1"/>
      <c r="E6" s="1"/>
      <c r="F6" s="1"/>
      <c r="G6" s="1"/>
      <c r="H6" s="1"/>
      <c r="I6" s="1"/>
      <c r="J6" s="1"/>
    </row>
    <row r="7" spans="1:11" ht="26.25" thickBot="1" x14ac:dyDescent="0.3">
      <c r="A7" s="1"/>
      <c r="B7" s="1"/>
      <c r="C7" s="266" t="s">
        <v>113</v>
      </c>
      <c r="D7" s="267"/>
      <c r="E7" s="267"/>
      <c r="F7" s="267"/>
      <c r="G7" s="267"/>
      <c r="H7" s="267"/>
      <c r="I7" s="267"/>
      <c r="J7" s="267"/>
      <c r="K7" s="268"/>
    </row>
    <row r="8" spans="1:11" s="1" customFormat="1" ht="15.75" thickBot="1" x14ac:dyDescent="0.3">
      <c r="C8" s="39"/>
      <c r="D8" s="39"/>
      <c r="E8" s="40"/>
      <c r="F8" s="40"/>
      <c r="G8" s="40"/>
      <c r="H8" s="40"/>
      <c r="I8" s="50"/>
      <c r="J8" s="40"/>
      <c r="K8" s="40"/>
    </row>
    <row r="9" spans="1:11" ht="21" thickBot="1" x14ac:dyDescent="0.3">
      <c r="A9" s="1"/>
      <c r="B9" s="1"/>
      <c r="C9" s="175" t="s">
        <v>15</v>
      </c>
      <c r="D9" s="176"/>
      <c r="E9" s="176" t="s">
        <v>16</v>
      </c>
      <c r="F9" s="187"/>
      <c r="G9" s="40"/>
      <c r="H9" s="40"/>
      <c r="I9" s="50"/>
      <c r="J9" s="40"/>
      <c r="K9" s="40"/>
    </row>
    <row r="10" spans="1:11" ht="54" customHeight="1" x14ac:dyDescent="0.25">
      <c r="A10" s="1"/>
      <c r="B10" s="1"/>
      <c r="C10" s="188" t="s">
        <v>17</v>
      </c>
      <c r="D10" s="189"/>
      <c r="E10" s="190" t="s">
        <v>18</v>
      </c>
      <c r="F10" s="191"/>
      <c r="G10" s="41"/>
      <c r="H10" s="42">
        <v>1</v>
      </c>
      <c r="I10" s="50"/>
      <c r="J10" s="40"/>
      <c r="K10" s="40"/>
    </row>
    <row r="11" spans="1:11" ht="46.5" customHeight="1" x14ac:dyDescent="0.25">
      <c r="A11" s="1"/>
      <c r="B11" s="1"/>
      <c r="C11" s="177" t="s">
        <v>19</v>
      </c>
      <c r="D11" s="178"/>
      <c r="E11" s="179" t="s">
        <v>114</v>
      </c>
      <c r="F11" s="180"/>
      <c r="G11" s="43" t="s">
        <v>115</v>
      </c>
      <c r="H11" s="42">
        <v>0.75</v>
      </c>
      <c r="I11" s="50"/>
      <c r="J11" s="40"/>
      <c r="K11" s="40"/>
    </row>
    <row r="12" spans="1:11" ht="70.5" customHeight="1" thickBot="1" x14ac:dyDescent="0.3">
      <c r="A12" s="1"/>
      <c r="B12" s="1"/>
      <c r="C12" s="181" t="s">
        <v>21</v>
      </c>
      <c r="D12" s="182"/>
      <c r="E12" s="183" t="s">
        <v>116</v>
      </c>
      <c r="F12" s="184"/>
      <c r="G12" s="44"/>
      <c r="H12" s="42">
        <v>0.25</v>
      </c>
      <c r="I12" s="50"/>
      <c r="J12" s="40"/>
      <c r="K12" s="40"/>
    </row>
    <row r="13" spans="1:11" s="1" customFormat="1" x14ac:dyDescent="0.25"/>
    <row r="14" spans="1:11" s="1" customFormat="1" x14ac:dyDescent="0.25"/>
    <row r="15" spans="1:11" s="1" customFormat="1" x14ac:dyDescent="0.25"/>
    <row r="16" spans="1:11" s="1" customFormat="1" ht="15.75" thickBot="1" x14ac:dyDescent="0.3"/>
    <row r="17" spans="1:10" x14ac:dyDescent="0.25">
      <c r="A17" s="1"/>
      <c r="B17" s="1"/>
      <c r="C17" s="274" t="s">
        <v>117</v>
      </c>
      <c r="D17" s="276" t="s">
        <v>118</v>
      </c>
      <c r="E17" s="277"/>
      <c r="F17" s="278" t="s">
        <v>119</v>
      </c>
      <c r="G17" s="280" t="s">
        <v>120</v>
      </c>
      <c r="H17" s="38"/>
      <c r="I17" s="269" t="s">
        <v>121</v>
      </c>
      <c r="J17" s="269" t="s">
        <v>122</v>
      </c>
    </row>
    <row r="18" spans="1:10" ht="36" customHeight="1" thickBot="1" x14ac:dyDescent="0.3">
      <c r="A18" s="1"/>
      <c r="B18" s="1"/>
      <c r="C18" s="275"/>
      <c r="D18" s="122" t="s">
        <v>123</v>
      </c>
      <c r="E18" s="123" t="s">
        <v>27</v>
      </c>
      <c r="F18" s="279"/>
      <c r="G18" s="281"/>
      <c r="H18" s="38"/>
      <c r="I18" s="270"/>
      <c r="J18" s="270"/>
    </row>
    <row r="19" spans="1:10" ht="65.25" customHeight="1" x14ac:dyDescent="0.25">
      <c r="A19" s="1"/>
      <c r="B19" s="1"/>
      <c r="C19" s="141">
        <v>1</v>
      </c>
      <c r="D19" s="271" t="s">
        <v>32</v>
      </c>
      <c r="E19" s="124" t="str">
        <f>+IFERROR(INDEX(Hoja1!$E$2:$E$45,MATCH('Análisis Resultados'!C19,Hoja1!$H$2:$H$45,0)),"")</f>
        <v>Documento interno o adopción del MECI actualizado</v>
      </c>
      <c r="F19" s="125" t="str">
        <f>+IFERROR(VLOOKUP(C19,Hoja1!$H$2:$I$45,2,0),"")</f>
        <v>No</v>
      </c>
      <c r="G19" s="126" t="str">
        <f>+IF(F19="Si","Existe requerimiento pero se requiere actividades  dirigidas a su mantenimiento dentro del marco de las lineas de defensa.",IF(F19="En proceso","Se encuentra en proceso, pero requiere continuar con acciones dirigidas a contar con dicho aspecto de control.","No se encuentra el aspecto  por lo tanto la entidad debera generar acciones dirigidas a que se cumpla con el requerimiento."))</f>
        <v>No se encuentra el aspecto  por lo tanto la entidad debera generar acciones dirigidas a que se cumpla con el requerimiento.</v>
      </c>
      <c r="H19" s="18"/>
      <c r="I19" s="142">
        <f>+IF(F19="Si",1,IF(F19="En proceso",0.5,0))</f>
        <v>0</v>
      </c>
      <c r="J19" s="284">
        <f>+AVERAGE(I19:I30)</f>
        <v>0.75</v>
      </c>
    </row>
    <row r="20" spans="1:10" ht="45" x14ac:dyDescent="0.25">
      <c r="A20" s="1"/>
      <c r="B20" s="1"/>
      <c r="C20" s="141">
        <v>2</v>
      </c>
      <c r="D20" s="272"/>
      <c r="E20" s="127" t="str">
        <f>+IFERROR(INDEX(Hoja1!$E$2:$E$45,MATCH('Análisis Resultados'!C20,Hoja1!$H$2:$H$45,0)),"")</f>
        <v>Evaluación a los servidores públicos de acuerdo con el marco normativo que le rige</v>
      </c>
      <c r="F20" s="128" t="str">
        <f>+IFERROR(VLOOKUP(C20,Hoja1!$H$2:$I$45,2,0),"")</f>
        <v>No</v>
      </c>
      <c r="G20" s="129" t="str">
        <f t="shared" ref="G20:G62" si="0">+IF(F20="Si","Existe requerimiento pero se requiere actividades  dirigidas a su mantenimiento dentro del marco de las lineas de defensa.",IF(F20="En proceso","Se encuentra en proceso, pero requiere continuar con acciones dirigidas a contar con dicho aspecto de control.","No se encuentra el aspecto  por lo tanto la entidad debera generar acciones dirigidas a que se cumpla con el requerimiento."))</f>
        <v>No se encuentra el aspecto  por lo tanto la entidad debera generar acciones dirigidas a que se cumpla con el requerimiento.</v>
      </c>
      <c r="H20" s="18"/>
      <c r="I20" s="143">
        <f t="shared" ref="I20:I62" si="1">+IF(F20="Si",1,IF(F20="En proceso",0.5,0))</f>
        <v>0</v>
      </c>
      <c r="J20" s="285"/>
    </row>
    <row r="21" spans="1:10" ht="33.75" x14ac:dyDescent="0.25">
      <c r="A21" s="1"/>
      <c r="B21" s="1"/>
      <c r="C21" s="141">
        <v>3</v>
      </c>
      <c r="D21" s="272"/>
      <c r="E21" s="127" t="str">
        <f>+IFERROR(INDEX(Hoja1!$E$2:$E$45,MATCH('Análisis Resultados'!C21,Hoja1!$H$2:$H$45,0)),"")</f>
        <v>Un manual de funciones que describa los empleos de la entidad</v>
      </c>
      <c r="F21" s="128" t="str">
        <f>+IFERROR(VLOOKUP(C21,Hoja1!$H$2:$I$45,2,0),"")</f>
        <v>En proceso</v>
      </c>
      <c r="G21" s="129" t="str">
        <f t="shared" si="0"/>
        <v>Se encuentra en proceso, pero requiere continuar con acciones dirigidas a contar con dicho aspecto de control.</v>
      </c>
      <c r="H21" s="18"/>
      <c r="I21" s="143">
        <f t="shared" si="1"/>
        <v>0.5</v>
      </c>
      <c r="J21" s="285"/>
    </row>
    <row r="22" spans="1:10" ht="56.25" customHeight="1" x14ac:dyDescent="0.25">
      <c r="A22" s="1"/>
      <c r="B22" s="1"/>
      <c r="C22" s="141">
        <v>4</v>
      </c>
      <c r="D22" s="272"/>
      <c r="E22" s="127" t="str">
        <f>+IFERROR(INDEX(Hoja1!$E$2:$E$45,MATCH('Análisis Resultados'!C22,Hoja1!$H$2:$H$45,0)),"")</f>
        <v>La documentación de sus procesos y procedimientos o bien una lista de actividades principales que permitan conocer el estado de su gestión</v>
      </c>
      <c r="F22" s="128" t="str">
        <f>+IFERROR(VLOOKUP(C22,Hoja1!$H$2:$I$45,2,0),"")</f>
        <v>En proceso</v>
      </c>
      <c r="G22" s="129" t="str">
        <f t="shared" si="0"/>
        <v>Se encuentra en proceso, pero requiere continuar con acciones dirigidas a contar con dicho aspecto de control.</v>
      </c>
      <c r="H22" s="18"/>
      <c r="I22" s="143">
        <f t="shared" si="1"/>
        <v>0.5</v>
      </c>
      <c r="J22" s="285"/>
    </row>
    <row r="23" spans="1:10" ht="57" x14ac:dyDescent="0.25">
      <c r="A23" s="1"/>
      <c r="B23" s="1"/>
      <c r="C23" s="141">
        <v>5</v>
      </c>
      <c r="D23" s="272"/>
      <c r="E23" s="127" t="str">
        <f>+IFERROR(INDEX(Hoja1!$E$2:$E$45,MATCH('Análisis Resultados'!C23,Hoja1!$H$2:$H$45,0)),"")</f>
        <v>Un documento tal como un código de ética, integridad u otro que formalice los estándares de conducta, los principios institucionales o los valores del servicio público</v>
      </c>
      <c r="F23" s="128" t="str">
        <f>+IFERROR(VLOOKUP(C23,Hoja1!$H$2:$I$45,2,0),"")</f>
        <v>Si</v>
      </c>
      <c r="G23" s="129" t="str">
        <f t="shared" si="0"/>
        <v>Existe requerimiento pero se requiere actividades  dirigidas a su mantenimiento dentro del marco de las lineas de defensa.</v>
      </c>
      <c r="H23" s="18"/>
      <c r="I23" s="143">
        <f t="shared" si="1"/>
        <v>1</v>
      </c>
      <c r="J23" s="285"/>
    </row>
    <row r="24" spans="1:10" ht="45" x14ac:dyDescent="0.25">
      <c r="A24" s="1"/>
      <c r="B24" s="1"/>
      <c r="C24" s="141">
        <v>6</v>
      </c>
      <c r="D24" s="272"/>
      <c r="E24" s="127" t="str">
        <f>+IFERROR(INDEX(Hoja1!$E$2:$E$45,MATCH('Análisis Resultados'!C24,Hoja1!$H$2:$H$45,0)),"")</f>
        <v>Planes, programas y proyectos de acuerdo con las normas que rigen y atendiendo con su propósito fundamental institucional (misión)</v>
      </c>
      <c r="F24" s="128" t="str">
        <f>+IFERROR(VLOOKUP(C24,Hoja1!$H$2:$I$45,2,0),"")</f>
        <v>Si</v>
      </c>
      <c r="G24" s="129" t="str">
        <f t="shared" si="0"/>
        <v>Existe requerimiento pero se requiere actividades  dirigidas a su mantenimiento dentro del marco de las lineas de defensa.</v>
      </c>
      <c r="H24" s="18"/>
      <c r="I24" s="143">
        <f t="shared" si="1"/>
        <v>1</v>
      </c>
      <c r="J24" s="285"/>
    </row>
    <row r="25" spans="1:10" ht="45" x14ac:dyDescent="0.25">
      <c r="A25" s="1"/>
      <c r="B25" s="1"/>
      <c r="C25" s="141">
        <v>7</v>
      </c>
      <c r="D25" s="272"/>
      <c r="E25" s="127" t="str">
        <f>+IFERROR(INDEX(Hoja1!$E$2:$E$45,MATCH('Análisis Resultados'!C25,Hoja1!$H$2:$H$45,0)),"")</f>
        <v>Una estructura organizacional formalizada (organigrama)</v>
      </c>
      <c r="F25" s="128" t="str">
        <f>+IFERROR(VLOOKUP(C25,Hoja1!$H$2:$I$45,2,0),"")</f>
        <v>Si</v>
      </c>
      <c r="G25" s="129" t="str">
        <f t="shared" si="0"/>
        <v>Existe requerimiento pero se requiere actividades  dirigidas a su mantenimiento dentro del marco de las lineas de defensa.</v>
      </c>
      <c r="H25" s="18"/>
      <c r="I25" s="143">
        <f t="shared" si="1"/>
        <v>1</v>
      </c>
      <c r="J25" s="285"/>
    </row>
    <row r="26" spans="1:10" ht="45" x14ac:dyDescent="0.25">
      <c r="A26" s="1"/>
      <c r="B26" s="1"/>
      <c r="C26" s="141">
        <v>8</v>
      </c>
      <c r="D26" s="272"/>
      <c r="E26" s="127" t="str">
        <f>+IFERROR(INDEX(Hoja1!$E$2:$E$45,MATCH('Análisis Resultados'!C26,Hoja1!$H$2:$H$45,0)),"")</f>
        <v>Vinculación de los servidores públicos de acuerdo con el marco normativo que les rige (carrera administrativa, libre nombramiento y remoción, entre otros)</v>
      </c>
      <c r="F26" s="128" t="str">
        <f>+IFERROR(VLOOKUP(C26,Hoja1!$H$2:$I$45,2,0),"")</f>
        <v>Si</v>
      </c>
      <c r="G26" s="129" t="str">
        <f t="shared" si="0"/>
        <v>Existe requerimiento pero se requiere actividades  dirigidas a su mantenimiento dentro del marco de las lineas de defensa.</v>
      </c>
      <c r="H26" s="18"/>
      <c r="I26" s="143">
        <f t="shared" si="1"/>
        <v>1</v>
      </c>
      <c r="J26" s="285"/>
    </row>
    <row r="27" spans="1:10" ht="45" x14ac:dyDescent="0.25">
      <c r="A27" s="1"/>
      <c r="B27" s="1"/>
      <c r="C27" s="141">
        <v>9</v>
      </c>
      <c r="D27" s="272"/>
      <c r="E27" s="127" t="str">
        <f>+IFERROR(INDEX(Hoja1!$E$2:$E$45,MATCH('Análisis Resultados'!C27,Hoja1!$H$2:$H$45,0)),"")</f>
        <v>Procesos de inducción, capacitación y bienestar social para sus servidores públicos, de manera directa o en asociación con otras entidades municipales</v>
      </c>
      <c r="F27" s="128" t="str">
        <f>+IFERROR(VLOOKUP(C27,Hoja1!$H$2:$I$45,2,0),"")</f>
        <v>Si</v>
      </c>
      <c r="G27" s="129" t="str">
        <f t="shared" si="0"/>
        <v>Existe requerimiento pero se requiere actividades  dirigidas a su mantenimiento dentro del marco de las lineas de defensa.</v>
      </c>
      <c r="H27" s="18"/>
      <c r="I27" s="143">
        <f t="shared" si="1"/>
        <v>1</v>
      </c>
      <c r="J27" s="285"/>
    </row>
    <row r="28" spans="1:10" ht="45" x14ac:dyDescent="0.25">
      <c r="A28" s="1"/>
      <c r="B28" s="1"/>
      <c r="C28" s="141">
        <v>10</v>
      </c>
      <c r="D28" s="272"/>
      <c r="E28" s="127" t="str">
        <f>+IFERROR(INDEX(Hoja1!$E$2:$E$45,MATCH('Análisis Resultados'!C28,Hoja1!$H$2:$H$45,0)),"")</f>
        <v>Procesos de desvinculación de servidores de acuerdo con lo previsto en la Constitución Política y las leyes</v>
      </c>
      <c r="F28" s="128" t="str">
        <f>+IFERROR(VLOOKUP(C28,Hoja1!$H$2:$I$45,2,0),"")</f>
        <v>Si</v>
      </c>
      <c r="G28" s="129" t="str">
        <f t="shared" si="0"/>
        <v>Existe requerimiento pero se requiere actividades  dirigidas a su mantenimiento dentro del marco de las lineas de defensa.</v>
      </c>
      <c r="H28" s="18"/>
      <c r="I28" s="143">
        <f t="shared" si="1"/>
        <v>1</v>
      </c>
      <c r="J28" s="285"/>
    </row>
    <row r="29" spans="1:10" ht="45" x14ac:dyDescent="0.25">
      <c r="A29" s="1"/>
      <c r="B29" s="1"/>
      <c r="C29" s="141">
        <v>11</v>
      </c>
      <c r="D29" s="272"/>
      <c r="E29" s="127" t="str">
        <f>+IFERROR(INDEX(Hoja1!$E$2:$E$45,MATCH('Análisis Resultados'!C29,Hoja1!$H$2:$H$45,0)),"")</f>
        <v>Mecanismos de rendición de cuentas a la ciudadanía</v>
      </c>
      <c r="F29" s="128" t="str">
        <f>+IFERROR(VLOOKUP(C29,Hoja1!$H$2:$I$45,2,0),"")</f>
        <v>Si</v>
      </c>
      <c r="G29" s="129" t="str">
        <f>+IF(F29="Si","Existe requerimiento pero se requiere actividades  dirigidas a su mantenimiento dentro del marco de las lineas de defensa.",IF(F29="En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H29" s="18"/>
      <c r="I29" s="143">
        <f t="shared" si="1"/>
        <v>1</v>
      </c>
      <c r="J29" s="285"/>
    </row>
    <row r="30" spans="1:10" ht="45.75" thickBot="1" x14ac:dyDescent="0.3">
      <c r="A30" s="1"/>
      <c r="B30" s="1"/>
      <c r="C30" s="141">
        <v>12</v>
      </c>
      <c r="D30" s="273"/>
      <c r="E30" s="130" t="str">
        <f>+IFERROR(INDEX(Hoja1!$E$2:$E$45,MATCH('Análisis Resultados'!C30,Hoja1!$H$2:$H$45,0)),"")</f>
        <v>Presentación oportuna de sus informes de gestión a las autoridades competentes</v>
      </c>
      <c r="F30" s="131" t="str">
        <f>+IFERROR(VLOOKUP(C30,Hoja1!$H$2:$I$45,2,0),"")</f>
        <v>Si</v>
      </c>
      <c r="G30" s="132" t="str">
        <f t="shared" si="0"/>
        <v>Existe requerimiento pero se requiere actividades  dirigidas a su mantenimiento dentro del marco de las lineas de defensa.</v>
      </c>
      <c r="H30" s="18"/>
      <c r="I30" s="144">
        <f t="shared" si="1"/>
        <v>1</v>
      </c>
      <c r="J30" s="286"/>
    </row>
    <row r="31" spans="1:10" ht="45" customHeight="1" x14ac:dyDescent="0.25">
      <c r="A31" s="1"/>
      <c r="B31" s="1"/>
      <c r="C31" s="141">
        <v>13</v>
      </c>
      <c r="D31" s="298" t="s">
        <v>61</v>
      </c>
      <c r="E31" s="124" t="str">
        <f>+IFERROR(INDEX(Hoja1!$E$2:$E$45,MATCH('Análisis Resultados'!C31,Hoja1!$H$2:$H$45,0)),"")</f>
        <v>Si su capacidad e infraestructura lo permite, identificación de riesgos asociados a las tecnologías de la información y las comunicaciones</v>
      </c>
      <c r="F31" s="125" t="str">
        <f>+IFERROR(VLOOKUP(C31,Hoja1!$H$2:$I$45,2,0),"")</f>
        <v xml:space="preserve">No  </v>
      </c>
      <c r="G31" s="126" t="str">
        <f t="shared" si="0"/>
        <v>No se encuentra el aspecto  por lo tanto la entidad debera generar acciones dirigidas a que se cumpla con el requerimiento.</v>
      </c>
      <c r="H31" s="18"/>
      <c r="I31" s="142">
        <f t="shared" si="1"/>
        <v>0</v>
      </c>
      <c r="J31" s="282">
        <f>+AVERAGE(I31:I40)</f>
        <v>0.7</v>
      </c>
    </row>
    <row r="32" spans="1:10" ht="57" customHeight="1" x14ac:dyDescent="0.25">
      <c r="A32" s="1"/>
      <c r="B32" s="1"/>
      <c r="C32" s="141">
        <v>14</v>
      </c>
      <c r="D32" s="299"/>
      <c r="E32" s="127" t="str">
        <f>+IFERROR(INDEX(Hoja1!$E$2:$E$45,MATCH('Análisis Resultados'!C32,Hoja1!$H$2:$H$45,0)),"")</f>
        <v>La identificación de aquellos problemas o aspectos que pueden afectar el cumplimiento de los planes de la entidad y en general su gestión institucional (riesgos)</v>
      </c>
      <c r="F32" s="128" t="str">
        <f>+IFERROR(VLOOKUP(C32,Hoja1!$H$2:$I$45,2,0),"")</f>
        <v>En proceso</v>
      </c>
      <c r="G32" s="129" t="str">
        <f t="shared" si="0"/>
        <v>Se encuentra en proceso, pero requiere continuar con acciones dirigidas a contar con dicho aspecto de control.</v>
      </c>
      <c r="H32" s="18"/>
      <c r="I32" s="143">
        <f t="shared" si="1"/>
        <v>0.5</v>
      </c>
      <c r="J32" s="283"/>
    </row>
    <row r="33" spans="1:10" ht="54" customHeight="1" x14ac:dyDescent="0.25">
      <c r="A33" s="1"/>
      <c r="B33" s="1"/>
      <c r="C33" s="141">
        <v>15</v>
      </c>
      <c r="D33" s="299"/>
      <c r="E33" s="127" t="str">
        <f>+IFERROR(INDEX(Hoja1!$E$2:$E$45,MATCH('Análisis Resultados'!C33,Hoja1!$H$2:$H$45,0)),"")</f>
        <v>La identificación  de los riesgos relacionados con posibles actos de corrupción en el ejercicio de sus funciones</v>
      </c>
      <c r="F33" s="128" t="str">
        <f>+IFERROR(VLOOKUP(C33,Hoja1!$H$2:$I$45,2,0),"")</f>
        <v>En proceso</v>
      </c>
      <c r="G33" s="129" t="str">
        <f t="shared" si="0"/>
        <v>Se encuentra en proceso, pero requiere continuar con acciones dirigidas a contar con dicho aspecto de control.</v>
      </c>
      <c r="H33" s="18"/>
      <c r="I33" s="143">
        <f t="shared" si="1"/>
        <v>0.5</v>
      </c>
      <c r="J33" s="283"/>
    </row>
    <row r="34" spans="1:10" ht="42.75" x14ac:dyDescent="0.25">
      <c r="A34" s="1"/>
      <c r="B34" s="1"/>
      <c r="C34" s="141">
        <v>16</v>
      </c>
      <c r="D34" s="299"/>
      <c r="E34" s="127" t="str">
        <f>+IFERROR(INDEX(Hoja1!$E$2:$E$45,MATCH('Análisis Resultados'!C34,Hoja1!$H$2:$H$45,0)),"")</f>
        <v>Informan de manera periódica a quien corresponda sobre el desempeño de las actividades de gestión de riesgos</v>
      </c>
      <c r="F34" s="128" t="str">
        <f>+IFERROR(VLOOKUP(C34,Hoja1!$H$2:$I$45,2,0),"")</f>
        <v>En proceso</v>
      </c>
      <c r="G34" s="129" t="str">
        <f t="shared" si="0"/>
        <v>Se encuentra en proceso, pero requiere continuar con acciones dirigidas a contar con dicho aspecto de control.</v>
      </c>
      <c r="H34" s="18"/>
      <c r="I34" s="143">
        <f t="shared" si="1"/>
        <v>0.5</v>
      </c>
      <c r="J34" s="283"/>
    </row>
    <row r="35" spans="1:10" ht="67.5" customHeight="1" x14ac:dyDescent="0.25">
      <c r="A35" s="1"/>
      <c r="B35" s="1"/>
      <c r="C35" s="141">
        <v>17</v>
      </c>
      <c r="D35" s="299"/>
      <c r="E35" s="127" t="str">
        <f>+IFERROR(INDEX(Hoja1!$E$2:$E$45,MATCH('Análisis Resultados'!C35,Hoja1!$H$2:$H$45,0)),"")</f>
        <v>Cada líder del equipo autónomamente toma las acciones para solucionarlos.</v>
      </c>
      <c r="F35" s="128" t="str">
        <f>+IFERROR(VLOOKUP(C35,Hoja1!$H$2:$I$45,2,0),"")</f>
        <v>En proceso</v>
      </c>
      <c r="G35" s="129" t="str">
        <f t="shared" si="0"/>
        <v>Se encuentra en proceso, pero requiere continuar con acciones dirigidas a contar con dicho aspecto de control.</v>
      </c>
      <c r="H35" s="18"/>
      <c r="I35" s="143">
        <f t="shared" si="1"/>
        <v>0.5</v>
      </c>
      <c r="J35" s="283"/>
    </row>
    <row r="36" spans="1:10" ht="45" x14ac:dyDescent="0.25">
      <c r="A36" s="1"/>
      <c r="B36" s="1"/>
      <c r="C36" s="141">
        <v>18</v>
      </c>
      <c r="D36" s="299"/>
      <c r="E36" s="127" t="str">
        <f>+IFERROR(INDEX(Hoja1!$E$2:$E$45,MATCH('Análisis Resultados'!C36,Hoja1!$H$2:$H$45,0)),"")</f>
        <v>La identificación de cambios en su entorno que pueden generar consecuencias negativas en su gestión</v>
      </c>
      <c r="F36" s="128" t="str">
        <f>+IFERROR(VLOOKUP(C36,Hoja1!$H$2:$I$45,2,0),"")</f>
        <v>Si</v>
      </c>
      <c r="G36" s="129" t="str">
        <f t="shared" si="0"/>
        <v>Existe requerimiento pero se requiere actividades  dirigidas a su mantenimiento dentro del marco de las lineas de defensa.</v>
      </c>
      <c r="H36" s="18"/>
      <c r="I36" s="143">
        <f t="shared" si="1"/>
        <v>1</v>
      </c>
      <c r="J36" s="283"/>
    </row>
    <row r="37" spans="1:10" ht="57" customHeight="1" x14ac:dyDescent="0.25">
      <c r="A37" s="1"/>
      <c r="B37" s="1"/>
      <c r="C37" s="141">
        <v>19</v>
      </c>
      <c r="D37" s="299"/>
      <c r="E37" s="127" t="str">
        <f>+IFERROR(INDEX(Hoja1!$E$2:$E$45,MATCH('Análisis Resultados'!C37,Hoja1!$H$2:$H$45,0)),"")</f>
        <v>Hacen seguimiento a los problemas (riesgos)  que pueden afectar el cumplimiento de sus procesos, programas o proyectos a cargo</v>
      </c>
      <c r="F37" s="128" t="str">
        <f>+IFERROR(VLOOKUP(C37,Hoja1!$H$2:$I$45,2,0),"")</f>
        <v>Si</v>
      </c>
      <c r="G37" s="129" t="str">
        <f t="shared" si="0"/>
        <v>Existe requerimiento pero se requiere actividades  dirigidas a su mantenimiento dentro del marco de las lineas de defensa.</v>
      </c>
      <c r="H37" s="18"/>
      <c r="I37" s="143">
        <f t="shared" si="1"/>
        <v>1</v>
      </c>
      <c r="J37" s="283"/>
    </row>
    <row r="38" spans="1:10" ht="45" x14ac:dyDescent="0.25">
      <c r="A38" s="1"/>
      <c r="B38" s="1"/>
      <c r="C38" s="141">
        <v>20</v>
      </c>
      <c r="D38" s="299"/>
      <c r="E38" s="127" t="str">
        <f>+IFERROR(INDEX(Hoja1!$E$2:$E$45,MATCH('Análisis Resultados'!C38,Hoja1!$H$2:$H$45,0)),"")</f>
        <v>Identifican deficiencias en las maneras de  controlar los riesgos o problemas en sus procesos, programas o proyectos, y propone los ajustes necesarios</v>
      </c>
      <c r="F38" s="128" t="str">
        <f>+IFERROR(VLOOKUP(C38,Hoja1!$H$2:$I$45,2,0),"")</f>
        <v>Si</v>
      </c>
      <c r="G38" s="129" t="str">
        <f t="shared" si="0"/>
        <v>Existe requerimiento pero se requiere actividades  dirigidas a su mantenimiento dentro del marco de las lineas de defensa.</v>
      </c>
      <c r="H38" s="18"/>
      <c r="I38" s="143">
        <f t="shared" si="1"/>
        <v>1</v>
      </c>
      <c r="J38" s="283"/>
    </row>
    <row r="39" spans="1:10" ht="45" x14ac:dyDescent="0.25">
      <c r="A39" s="1"/>
      <c r="B39" s="1"/>
      <c r="C39" s="141">
        <v>21</v>
      </c>
      <c r="D39" s="299"/>
      <c r="E39" s="127" t="str">
        <f>+IFERROR(INDEX(Hoja1!$E$2:$E$45,MATCH('Análisis Resultados'!C39,Hoja1!$H$2:$H$45,0)),"")</f>
        <v>Se definen espacios de reunión para conocerlos y proponer acciones para su solución</v>
      </c>
      <c r="F39" s="128" t="str">
        <f>+IFERROR(VLOOKUP(C39,Hoja1!$H$2:$I$45,2,0),"")</f>
        <v>Si</v>
      </c>
      <c r="G39" s="129" t="str">
        <f t="shared" si="0"/>
        <v>Existe requerimiento pero se requiere actividades  dirigidas a su mantenimiento dentro del marco de las lineas de defensa.</v>
      </c>
      <c r="H39" s="18"/>
      <c r="I39" s="143">
        <f t="shared" si="1"/>
        <v>1</v>
      </c>
      <c r="J39" s="283"/>
    </row>
    <row r="40" spans="1:10" ht="45.75" thickBot="1" x14ac:dyDescent="0.3">
      <c r="A40" s="1"/>
      <c r="B40" s="1"/>
      <c r="C40" s="141">
        <v>22</v>
      </c>
      <c r="D40" s="299"/>
      <c r="E40" s="133" t="str">
        <f>+IFERROR(INDEX(Hoja1!$E$2:$E$45,MATCH('Análisis Resultados'!C40,Hoja1!$H$2:$H$45,0)),"")</f>
        <v>Solamente hasta que un organismo de control actúa se definen acciones de mejora.</v>
      </c>
      <c r="F40" s="134" t="str">
        <f>+IFERROR(VLOOKUP(C40,Hoja1!$H$2:$I$45,2,0),"")</f>
        <v>Si</v>
      </c>
      <c r="G40" s="135" t="str">
        <f t="shared" si="0"/>
        <v>Existe requerimiento pero se requiere actividades  dirigidas a su mantenimiento dentro del marco de las lineas de defensa.</v>
      </c>
      <c r="H40" s="18"/>
      <c r="I40" s="145">
        <f t="shared" si="1"/>
        <v>1</v>
      </c>
      <c r="J40" s="283"/>
    </row>
    <row r="41" spans="1:10" ht="87.75" customHeight="1" x14ac:dyDescent="0.25">
      <c r="A41" s="1"/>
      <c r="B41" s="1"/>
      <c r="C41" s="141">
        <v>23</v>
      </c>
      <c r="D41" s="294" t="s">
        <v>79</v>
      </c>
      <c r="E41" s="124" t="str">
        <f>+IFERROR(INDEX(Hoja1!$E$2:$E$45,MATCH('Análisis Resultados'!C41,Hoja1!$H$2:$H$45,0)),"")</f>
        <v>Mecanismos de verificación de si se están o no mitigando los riesgos, o en su defecto, elaboración de planes de contingencia para subsanar sus consecuencias</v>
      </c>
      <c r="F41" s="125" t="str">
        <f>+IFERROR(VLOOKUP(C41,Hoja1!$H$2:$I$45,2,0),"")</f>
        <v>En proceso</v>
      </c>
      <c r="G41" s="126" t="str">
        <f t="shared" si="0"/>
        <v>Se encuentra en proceso, pero requiere continuar con acciones dirigidas a contar con dicho aspecto de control.</v>
      </c>
      <c r="H41" s="18"/>
      <c r="I41" s="142">
        <f t="shared" si="1"/>
        <v>0.5</v>
      </c>
      <c r="J41" s="282">
        <f>+AVERAGE(I41:I45)</f>
        <v>0.7</v>
      </c>
    </row>
    <row r="42" spans="1:10" ht="42.75" x14ac:dyDescent="0.25">
      <c r="A42" s="1"/>
      <c r="B42" s="1"/>
      <c r="C42" s="141">
        <v>24</v>
      </c>
      <c r="D42" s="295"/>
      <c r="E42" s="127" t="str">
        <f>+IFERROR(INDEX(Hoja1!$E$2:$E$45,MATCH('Análisis Resultados'!C42,Hoja1!$H$2:$H$45,0)),"")</f>
        <v>Planes, acciones o estrategias que permitan subsanar las consecuencias de la materialización de los riesgos, cuando se presentan</v>
      </c>
      <c r="F42" s="128" t="str">
        <f>+IFERROR(VLOOKUP(C42,Hoja1!$H$2:$I$45,2,0),"")</f>
        <v>En proceso</v>
      </c>
      <c r="G42" s="129" t="str">
        <f t="shared" si="0"/>
        <v>Se encuentra en proceso, pero requiere continuar con acciones dirigidas a contar con dicho aspecto de control.</v>
      </c>
      <c r="H42" s="18"/>
      <c r="I42" s="143">
        <f t="shared" si="1"/>
        <v>0.5</v>
      </c>
      <c r="J42" s="283"/>
    </row>
    <row r="43" spans="1:10" ht="85.5" customHeight="1" x14ac:dyDescent="0.25">
      <c r="A43" s="1"/>
      <c r="B43" s="1"/>
      <c r="C43" s="141">
        <v>25</v>
      </c>
      <c r="D43" s="295"/>
      <c r="E43" s="127" t="str">
        <f>+IFERROR(INDEX(Hoja1!$E$2:$E$45,MATCH('Análisis Resultados'!C43,Hoja1!$H$2:$H$45,0)),"")</f>
        <v>Un documento que consolide  los riesgos  y el tratamiento que se les da, incluyendo aquellos que conllevan posibles actos de corrupción y si la capacidad e infraestructura lo permite, los asociados con las tecnologías de la información y las comunicaciones</v>
      </c>
      <c r="F43" s="128" t="str">
        <f>+IFERROR(VLOOKUP(C43,Hoja1!$H$2:$I$45,2,0),"")</f>
        <v>En proceso</v>
      </c>
      <c r="G43" s="129" t="str">
        <f t="shared" si="0"/>
        <v>Se encuentra en proceso, pero requiere continuar con acciones dirigidas a contar con dicho aspecto de control.</v>
      </c>
      <c r="H43" s="18"/>
      <c r="I43" s="143">
        <f t="shared" si="1"/>
        <v>0.5</v>
      </c>
      <c r="J43" s="283"/>
    </row>
    <row r="44" spans="1:10" ht="57" customHeight="1" x14ac:dyDescent="0.25">
      <c r="A44" s="1"/>
      <c r="B44" s="1"/>
      <c r="C44" s="141">
        <v>26</v>
      </c>
      <c r="D44" s="295"/>
      <c r="E44" s="127" t="str">
        <f>+IFERROR(INDEX(Hoja1!$E$2:$E$45,MATCH('Análisis Resultados'!C44,Hoja1!$H$2:$H$45,0)),"")</f>
        <v>La definición de acciones o actividades para para dar tratamiento a los problemas identificados (mitigación de riesgos), incluyendo aquellos asociados a posibles actos de corrupción</v>
      </c>
      <c r="F44" s="128" t="str">
        <f>+IFERROR(VLOOKUP(C44,Hoja1!$H$2:$I$45,2,0),"")</f>
        <v>Si</v>
      </c>
      <c r="G44" s="129" t="str">
        <f t="shared" si="0"/>
        <v>Existe requerimiento pero se requiere actividades  dirigidas a su mantenimiento dentro del marco de las lineas de defensa.</v>
      </c>
      <c r="H44" s="18"/>
      <c r="I44" s="143">
        <f t="shared" si="1"/>
        <v>1</v>
      </c>
      <c r="J44" s="283"/>
    </row>
    <row r="45" spans="1:10" ht="57" customHeight="1" thickBot="1" x14ac:dyDescent="0.3">
      <c r="A45" s="1"/>
      <c r="B45" s="1"/>
      <c r="C45" s="141">
        <v>27</v>
      </c>
      <c r="D45" s="296"/>
      <c r="E45" s="130" t="str">
        <f>+IFERROR(INDEX(Hoja1!$E$2:$E$45,MATCH('Análisis Resultados'!C45,Hoja1!$H$2:$H$45,0)),"")</f>
        <v>Un plan anticorrupción y de servicio al ciudadano con los temas que le aplican, publicado en algún medio para conocimiento de la ciudadanía</v>
      </c>
      <c r="F45" s="131" t="str">
        <f>+IFERROR(VLOOKUP(C45,Hoja1!$H$2:$I$45,2,0),"")</f>
        <v>Si</v>
      </c>
      <c r="G45" s="132" t="str">
        <f t="shared" si="0"/>
        <v>Existe requerimiento pero se requiere actividades  dirigidas a su mantenimiento dentro del marco de las lineas de defensa.</v>
      </c>
      <c r="H45" s="18"/>
      <c r="I45" s="144">
        <f t="shared" si="1"/>
        <v>1</v>
      </c>
      <c r="J45" s="297"/>
    </row>
    <row r="46" spans="1:10" ht="63.75" customHeight="1" x14ac:dyDescent="0.25">
      <c r="A46" s="1"/>
      <c r="B46" s="1"/>
      <c r="C46" s="141">
        <v>28</v>
      </c>
      <c r="D46" s="293" t="s">
        <v>87</v>
      </c>
      <c r="E46" s="136" t="str">
        <f>+IFERROR(INDEX(Hoja1!$E$2:$E$45,MATCH('Análisis Resultados'!C46,Hoja1!$H$2:$H$45,0)),"")</f>
        <v>Si su capacidad e infraestructura lo permite, tecnologías de la información y las comunicaciones que soporten estos procesos</v>
      </c>
      <c r="F46" s="137" t="str">
        <f>+IFERROR(VLOOKUP(C46,Hoja1!$H$2:$I$45,2,0),"")</f>
        <v>No</v>
      </c>
      <c r="G46" s="138" t="str">
        <f t="shared" si="0"/>
        <v>No se encuentra el aspecto  por lo tanto la entidad debera generar acciones dirigidas a que se cumpla con el requerimiento.</v>
      </c>
      <c r="H46" s="18"/>
      <c r="I46" s="146">
        <f t="shared" si="1"/>
        <v>0</v>
      </c>
      <c r="J46" s="283">
        <f>+AVERAGE(I46:I52)</f>
        <v>0.7857142857142857</v>
      </c>
    </row>
    <row r="47" spans="1:10" ht="92.25" customHeight="1" x14ac:dyDescent="0.25">
      <c r="A47" s="1"/>
      <c r="B47" s="1"/>
      <c r="C47" s="141">
        <v>29</v>
      </c>
      <c r="D47" s="293"/>
      <c r="E47" s="127" t="str">
        <f>+IFERROR(INDEX(Hoja1!$E$2:$E$45,MATCH('Análisis Resultados'!C47,Hoja1!$H$2:$H$45,0)),"")</f>
        <v xml:space="preserve">Lineamientos para dar tratamiento a la información de carácter reservado </v>
      </c>
      <c r="F47" s="128" t="str">
        <f>+IFERROR(VLOOKUP(C47,Hoja1!$H$2:$I$45,2,0),"")</f>
        <v>En proceso</v>
      </c>
      <c r="G47" s="139" t="str">
        <f t="shared" si="0"/>
        <v>Se encuentra en proceso, pero requiere continuar con acciones dirigidas a contar con dicho aspecto de control.</v>
      </c>
      <c r="H47" s="18"/>
      <c r="I47" s="147">
        <f t="shared" si="1"/>
        <v>0.5</v>
      </c>
      <c r="J47" s="283"/>
    </row>
    <row r="48" spans="1:10" ht="66.75" customHeight="1" x14ac:dyDescent="0.25">
      <c r="A48" s="1"/>
      <c r="B48" s="1"/>
      <c r="C48" s="141">
        <v>30</v>
      </c>
      <c r="D48" s="293"/>
      <c r="E48" s="127" t="str">
        <f>+IFERROR(INDEX(Hoja1!$E$2:$E$45,MATCH('Análisis Resultados'!C48,Hoja1!$H$2:$H$45,0)),"")</f>
        <v>Responsables de la información institucional</v>
      </c>
      <c r="F48" s="128" t="str">
        <f>+IFERROR(VLOOKUP(C48,Hoja1!$H$2:$I$45,2,0),"")</f>
        <v>Si</v>
      </c>
      <c r="G48" s="139" t="str">
        <f t="shared" si="0"/>
        <v>Existe requerimiento pero se requiere actividades  dirigidas a su mantenimiento dentro del marco de las lineas de defensa.</v>
      </c>
      <c r="H48" s="18"/>
      <c r="I48" s="147">
        <f t="shared" si="1"/>
        <v>1</v>
      </c>
      <c r="J48" s="283"/>
    </row>
    <row r="49" spans="1:10" ht="60" customHeight="1" x14ac:dyDescent="0.25">
      <c r="A49" s="1"/>
      <c r="B49" s="1"/>
      <c r="C49" s="141">
        <v>31</v>
      </c>
      <c r="D49" s="293"/>
      <c r="E49" s="127" t="str">
        <f>+IFERROR(INDEX(Hoja1!$E$2:$E$45,MATCH('Análisis Resultados'!C49,Hoja1!$H$2:$H$45,0)),"")</f>
        <v>Canales de comunicación con los ciudadanos</v>
      </c>
      <c r="F49" s="128" t="str">
        <f>+IFERROR(VLOOKUP(C49,Hoja1!$H$2:$I$45,2,0),"")</f>
        <v>Si</v>
      </c>
      <c r="G49" s="139" t="str">
        <f t="shared" si="0"/>
        <v>Existe requerimiento pero se requiere actividades  dirigidas a su mantenimiento dentro del marco de las lineas de defensa.</v>
      </c>
      <c r="H49" s="18"/>
      <c r="I49" s="147">
        <f t="shared" si="1"/>
        <v>1</v>
      </c>
      <c r="J49" s="283"/>
    </row>
    <row r="50" spans="1:10" ht="57" customHeight="1" x14ac:dyDescent="0.25">
      <c r="A50" s="1"/>
      <c r="B50" s="1"/>
      <c r="C50" s="141">
        <v>32</v>
      </c>
      <c r="D50" s="293"/>
      <c r="E50" s="127" t="str">
        <f>+IFERROR(INDEX(Hoja1!$E$2:$E$45,MATCH('Análisis Resultados'!C50,Hoja1!$H$2:$H$45,0)),"")</f>
        <v>Canales de comunicación o mecanismos de reporte de información a otros organismos gubernamentales o de control</v>
      </c>
      <c r="F50" s="128" t="str">
        <f>+IFERROR(VLOOKUP(C50,Hoja1!$H$2:$I$45,2,0),"")</f>
        <v>Si</v>
      </c>
      <c r="G50" s="139" t="str">
        <f t="shared" si="0"/>
        <v>Existe requerimiento pero se requiere actividades  dirigidas a su mantenimiento dentro del marco de las lineas de defensa.</v>
      </c>
      <c r="H50" s="18"/>
      <c r="I50" s="147">
        <f t="shared" si="1"/>
        <v>1</v>
      </c>
      <c r="J50" s="283"/>
    </row>
    <row r="51" spans="1:10" ht="57" customHeight="1" x14ac:dyDescent="0.25">
      <c r="A51" s="1"/>
      <c r="B51" s="1"/>
      <c r="C51" s="141">
        <v>33</v>
      </c>
      <c r="D51" s="293"/>
      <c r="E51" s="127" t="str">
        <f>+IFERROR(INDEX(Hoja1!$E$2:$E$45,MATCH('Análisis Resultados'!C51,Hoja1!$H$2:$H$45,0)),"")</f>
        <v>Identificación de información que produce en el marco de su gestión (Para los ciudadanos, organismos de control, organismos gubernamentales, entre otros)</v>
      </c>
      <c r="F51" s="128" t="str">
        <f>+IFERROR(VLOOKUP(C51,Hoja1!$H$2:$I$45,2,0),"")</f>
        <v>Si</v>
      </c>
      <c r="G51" s="139" t="str">
        <f t="shared" si="0"/>
        <v>Existe requerimiento pero se requiere actividades  dirigidas a su mantenimiento dentro del marco de las lineas de defensa.</v>
      </c>
      <c r="H51" s="18"/>
      <c r="I51" s="147">
        <f t="shared" si="1"/>
        <v>1</v>
      </c>
      <c r="J51" s="283"/>
    </row>
    <row r="52" spans="1:10" ht="45.75" thickBot="1" x14ac:dyDescent="0.3">
      <c r="A52" s="1"/>
      <c r="B52" s="1"/>
      <c r="C52" s="141">
        <v>34</v>
      </c>
      <c r="D52" s="293"/>
      <c r="E52" s="133" t="str">
        <f>+IFERROR(INDEX(Hoja1!$E$2:$E$45,MATCH('Análisis Resultados'!C52,Hoja1!$H$2:$H$45,0)),"")</f>
        <v>Identificación de información necesaria para la operación de la entidad (normograma, presupuesto, talento humano, infraestructura física y tecnológica)</v>
      </c>
      <c r="F52" s="134" t="str">
        <f>+IFERROR(VLOOKUP(C52,Hoja1!$H$2:$I$45,2,0),"")</f>
        <v>Si</v>
      </c>
      <c r="G52" s="140" t="str">
        <f t="shared" si="0"/>
        <v>Existe requerimiento pero se requiere actividades  dirigidas a su mantenimiento dentro del marco de las lineas de defensa.</v>
      </c>
      <c r="H52" s="18"/>
      <c r="I52" s="148">
        <f t="shared" si="1"/>
        <v>1</v>
      </c>
      <c r="J52" s="283"/>
    </row>
    <row r="53" spans="1:10" ht="41.25" customHeight="1" x14ac:dyDescent="0.25">
      <c r="A53" s="1"/>
      <c r="B53" s="1"/>
      <c r="C53" s="141">
        <v>35</v>
      </c>
      <c r="D53" s="287" t="s">
        <v>97</v>
      </c>
      <c r="E53" s="124" t="str">
        <f>+IFERROR(INDEX(Hoja1!$E$2:$E$45,MATCH('Análisis Resultados'!C53,Hoja1!$H$2:$H$45,0)),"")</f>
        <v>La entidad participa en el  Comité Municipal de Auditoría?</v>
      </c>
      <c r="F53" s="125" t="str">
        <f>+IFERROR(VLOOKUP(C53,Hoja1!$H$2:$I$45,2,0),"")</f>
        <v>No</v>
      </c>
      <c r="G53" s="126" t="str">
        <f t="shared" si="0"/>
        <v>No se encuentra el aspecto  por lo tanto la entidad debera generar acciones dirigidas a que se cumpla con el requerimiento.</v>
      </c>
      <c r="H53" s="18"/>
      <c r="I53" s="142">
        <f t="shared" si="1"/>
        <v>0</v>
      </c>
      <c r="J53" s="290">
        <f>+AVERAGE(I53:I62)</f>
        <v>0.8</v>
      </c>
    </row>
    <row r="54" spans="1:10" ht="58.5" customHeight="1" x14ac:dyDescent="0.25">
      <c r="A54" s="1"/>
      <c r="B54" s="1"/>
      <c r="C54" s="141">
        <v>36</v>
      </c>
      <c r="D54" s="288"/>
      <c r="E54" s="127" t="str">
        <f>+IFERROR(INDEX(Hoja1!$E$2:$E$45,MATCH('Análisis Resultados'!C54,Hoja1!$H$2:$H$45,0)),"")</f>
        <v>Diseñar acciones adecuadas para controlar los problemas que afectan el cumplimiento de las metas y objetivos institucionales (riesgos).</v>
      </c>
      <c r="F54" s="128" t="str">
        <f>+IFERROR(VLOOKUP(C54,Hoja1!$H$2:$I$45,2,0),"")</f>
        <v>En proceso</v>
      </c>
      <c r="G54" s="129" t="str">
        <f t="shared" si="0"/>
        <v>Se encuentra en proceso, pero requiere continuar con acciones dirigidas a contar con dicho aspecto de control.</v>
      </c>
      <c r="H54" s="18"/>
      <c r="I54" s="143">
        <f t="shared" si="1"/>
        <v>0.5</v>
      </c>
      <c r="J54" s="291"/>
    </row>
    <row r="55" spans="1:10" s="1" customFormat="1" ht="84.75" customHeight="1" x14ac:dyDescent="0.25">
      <c r="C55" s="141">
        <v>37</v>
      </c>
      <c r="D55" s="288"/>
      <c r="E55" s="127" t="str">
        <f>+IFERROR(INDEX(Hoja1!$E$2:$E$45,MATCH('Análisis Resultados'!C55,Hoja1!$H$2:$H$45,0)),"")</f>
        <v>Ejecutar las acciones de acuerdo a como se diseñaron previamente.</v>
      </c>
      <c r="F55" s="128" t="str">
        <f>+IFERROR(VLOOKUP(C55,Hoja1!$H$2:$I$45,2,0),"")</f>
        <v>En proceso</v>
      </c>
      <c r="G55" s="129" t="str">
        <f t="shared" si="0"/>
        <v>Se encuentra en proceso, pero requiere continuar con acciones dirigidas a contar con dicho aspecto de control.</v>
      </c>
      <c r="H55" s="6"/>
      <c r="I55" s="143">
        <f t="shared" si="1"/>
        <v>0.5</v>
      </c>
      <c r="J55" s="291"/>
    </row>
    <row r="56" spans="1:10" s="1" customFormat="1" ht="78.75" customHeight="1" x14ac:dyDescent="0.25">
      <c r="C56" s="141">
        <v>38</v>
      </c>
      <c r="D56" s="288"/>
      <c r="E56" s="127" t="str">
        <f>+IFERROR(INDEX(Hoja1!$E$2:$E$45,MATCH('Análisis Resultados'!C56,Hoja1!$H$2:$H$45,0)),"")</f>
        <v>Mecanismos de evaluación de la gestión (cronogramas, indicadores, listas de chequeo u otros)</v>
      </c>
      <c r="F56" s="128" t="str">
        <f>+IFERROR(VLOOKUP(C56,Hoja1!$H$2:$I$45,2,0),"")</f>
        <v>Si</v>
      </c>
      <c r="G56" s="129" t="str">
        <f t="shared" si="0"/>
        <v>Existe requerimiento pero se requiere actividades  dirigidas a su mantenimiento dentro del marco de las lineas de defensa.</v>
      </c>
      <c r="H56" s="6"/>
      <c r="I56" s="143">
        <f t="shared" si="1"/>
        <v>1</v>
      </c>
      <c r="J56" s="291"/>
    </row>
    <row r="57" spans="1:10" s="1" customFormat="1" ht="54.75" customHeight="1" x14ac:dyDescent="0.25">
      <c r="C57" s="141">
        <v>39</v>
      </c>
      <c r="D57" s="288"/>
      <c r="E57" s="127" t="str">
        <f>+IFERROR(INDEX(Hoja1!$E$2:$E$45,MATCH('Análisis Resultados'!C57,Hoja1!$H$2:$H$45,0)),"")</f>
        <v>Algún mecanismo para monitorear o supervisar el sistema de control interno institucional, ya sea por parte del representante legal, o del área de control interno (si la entidad cuenta con ella), o bien a través del Comité departamental o municipal de Auditoría.</v>
      </c>
      <c r="F57" s="128" t="str">
        <f>+IFERROR(VLOOKUP(C57,Hoja1!$H$2:$I$45,2,0),"")</f>
        <v>Si</v>
      </c>
      <c r="G57" s="129" t="str">
        <f t="shared" si="0"/>
        <v>Existe requerimiento pero se requiere actividades  dirigidas a su mantenimiento dentro del marco de las lineas de defensa.</v>
      </c>
      <c r="H57" s="6"/>
      <c r="I57" s="143">
        <f t="shared" si="1"/>
        <v>1</v>
      </c>
      <c r="J57" s="291"/>
    </row>
    <row r="58" spans="1:10" s="1" customFormat="1" ht="68.25" customHeight="1" x14ac:dyDescent="0.25">
      <c r="C58" s="141">
        <v>40</v>
      </c>
      <c r="D58" s="288"/>
      <c r="E58" s="127" t="str">
        <f>+IFERROR(INDEX(Hoja1!$E$2:$E$45,MATCH('Análisis Resultados'!C58,Hoja1!$H$2:$H$45,0)),"")</f>
        <v>Medidas correctivas en caso de detectarse deficiencias en los ejercicios de evaluación, seguimiento o auditoría</v>
      </c>
      <c r="F58" s="128" t="str">
        <f>+IFERROR(VLOOKUP(C58,Hoja1!$H$2:$I$45,2,0),"")</f>
        <v>Si</v>
      </c>
      <c r="G58" s="129" t="str">
        <f t="shared" si="0"/>
        <v>Existe requerimiento pero se requiere actividades  dirigidas a su mantenimiento dentro del marco de las lineas de defensa.</v>
      </c>
      <c r="H58" s="6"/>
      <c r="I58" s="143">
        <f t="shared" si="1"/>
        <v>1</v>
      </c>
      <c r="J58" s="291"/>
    </row>
    <row r="59" spans="1:10" s="1" customFormat="1" ht="45" customHeight="1" x14ac:dyDescent="0.25">
      <c r="C59" s="141">
        <v>41</v>
      </c>
      <c r="D59" s="288"/>
      <c r="E59" s="127" t="str">
        <f>+IFERROR(INDEX(Hoja1!$E$2:$E$45,MATCH('Análisis Resultados'!C59,Hoja1!$H$2:$H$45,0)),"")</f>
        <v>Seguimiento a los planes de mejoramiento suscritos con instancias de control internas o externas</v>
      </c>
      <c r="F59" s="128" t="str">
        <f>+IFERROR(VLOOKUP(C59,Hoja1!$H$2:$I$45,2,0),"")</f>
        <v>Si</v>
      </c>
      <c r="G59" s="129" t="str">
        <f t="shared" si="0"/>
        <v>Existe requerimiento pero se requiere actividades  dirigidas a su mantenimiento dentro del marco de las lineas de defensa.</v>
      </c>
      <c r="H59" s="6"/>
      <c r="I59" s="143">
        <f t="shared" si="1"/>
        <v>1</v>
      </c>
      <c r="J59" s="291"/>
    </row>
    <row r="60" spans="1:10" s="1" customFormat="1" ht="51.75" customHeight="1" x14ac:dyDescent="0.25">
      <c r="C60" s="141">
        <v>42</v>
      </c>
      <c r="D60" s="288"/>
      <c r="E60" s="127" t="str">
        <f>+IFERROR(INDEX(Hoja1!$E$2:$E$45,MATCH('Análisis Resultados'!C60,Hoja1!$H$2:$H$45,0)),"")</f>
        <v>Evitar que los problemas (riesgos) obstaculicen el cumplimiento de los objetivos.</v>
      </c>
      <c r="F60" s="128" t="str">
        <f>+IFERROR(VLOOKUP(C60,Hoja1!$H$2:$I$45,2,0),"")</f>
        <v>Si</v>
      </c>
      <c r="G60" s="129" t="str">
        <f t="shared" si="0"/>
        <v>Existe requerimiento pero se requiere actividades  dirigidas a su mantenimiento dentro del marco de las lineas de defensa.</v>
      </c>
      <c r="H60" s="6"/>
      <c r="I60" s="143">
        <f t="shared" si="1"/>
        <v>1</v>
      </c>
      <c r="J60" s="291"/>
    </row>
    <row r="61" spans="1:10" s="1" customFormat="1" ht="84" customHeight="1" x14ac:dyDescent="0.25">
      <c r="C61" s="141">
        <v>43</v>
      </c>
      <c r="D61" s="288"/>
      <c r="E61" s="127" t="str">
        <f>+IFERROR(INDEX(Hoja1!$E$2:$E$45,MATCH('Análisis Resultados'!C61,Hoja1!$H$2:$H$45,0)),"")</f>
        <v>Controlar los puntos críticos en los procesos.</v>
      </c>
      <c r="F61" s="128" t="str">
        <f>+IFERROR(VLOOKUP(C61,Hoja1!$H$2:$I$45,2,0),"")</f>
        <v>Si</v>
      </c>
      <c r="G61" s="129" t="str">
        <f t="shared" si="0"/>
        <v>Existe requerimiento pero se requiere actividades  dirigidas a su mantenimiento dentro del marco de las lineas de defensa.</v>
      </c>
      <c r="H61" s="6"/>
      <c r="I61" s="143">
        <f t="shared" si="1"/>
        <v>1</v>
      </c>
      <c r="J61" s="291"/>
    </row>
    <row r="62" spans="1:10" s="1" customFormat="1" ht="60" customHeight="1" thickBot="1" x14ac:dyDescent="0.3">
      <c r="C62" s="141">
        <v>44</v>
      </c>
      <c r="D62" s="289"/>
      <c r="E62" s="130" t="str">
        <f>+IFERROR(INDEX(Hoja1!$E$2:$E$45,MATCH('Análisis Resultados'!C62,Hoja1!$H$2:$H$45,0)),"")</f>
        <v>No se gestionan los problemas que afectan el cumplimiento de las funciones y objetivos institucionales(riesgos).</v>
      </c>
      <c r="F62" s="131" t="str">
        <f>+IFERROR(VLOOKUP(C62,Hoja1!$H$2:$I$45,2,0),"")</f>
        <v>Si</v>
      </c>
      <c r="G62" s="132" t="str">
        <f t="shared" si="0"/>
        <v>Existe requerimiento pero se requiere actividades  dirigidas a su mantenimiento dentro del marco de las lineas de defensa.</v>
      </c>
      <c r="H62" s="6"/>
      <c r="I62" s="144">
        <f t="shared" si="1"/>
        <v>1</v>
      </c>
      <c r="J62" s="292"/>
    </row>
    <row r="63" spans="1:10" s="1" customFormat="1" x14ac:dyDescent="0.25">
      <c r="H63" s="6"/>
    </row>
    <row r="64" spans="1:10" s="1" customFormat="1" x14ac:dyDescent="0.25">
      <c r="H64" s="6"/>
    </row>
    <row r="65" spans="1:2" s="1" customFormat="1" x14ac:dyDescent="0.25"/>
    <row r="66" spans="1:2" s="1" customFormat="1" x14ac:dyDescent="0.25"/>
    <row r="67" spans="1:2" s="1" customFormat="1" x14ac:dyDescent="0.25"/>
    <row r="68" spans="1:2" s="1" customFormat="1" x14ac:dyDescent="0.25"/>
    <row r="69" spans="1:2" s="1" customFormat="1" x14ac:dyDescent="0.25"/>
    <row r="70" spans="1:2" s="1" customFormat="1" x14ac:dyDescent="0.25"/>
    <row r="71" spans="1:2" x14ac:dyDescent="0.25">
      <c r="A71" s="1"/>
      <c r="B71" s="1"/>
    </row>
    <row r="72" spans="1:2" x14ac:dyDescent="0.25">
      <c r="A72" s="1"/>
      <c r="B72" s="1"/>
    </row>
    <row r="73" spans="1:2" x14ac:dyDescent="0.25">
      <c r="A73" s="1"/>
      <c r="B73" s="1"/>
    </row>
    <row r="74" spans="1:2" x14ac:dyDescent="0.25">
      <c r="A74" s="1"/>
      <c r="B74" s="1"/>
    </row>
  </sheetData>
  <sheetProtection algorithmName="SHA-512" hashValue="2c/K7BVeA+JOjsvnu2HILGfEHHcx80UTyQTucJ5c70tus45UaD3gXdqjB7xLC6LydtmfT9VN5B07LstuhHP+UQ==" saltValue="5+Ylqwr6SZ9tvbSyY2m3gQ==" spinCount="100000" sheet="1" objects="1" scenarios="1" formatCells="0"/>
  <mergeCells count="25">
    <mergeCell ref="J31:J40"/>
    <mergeCell ref="C12:D12"/>
    <mergeCell ref="E12:F12"/>
    <mergeCell ref="J19:J30"/>
    <mergeCell ref="D53:D62"/>
    <mergeCell ref="J53:J62"/>
    <mergeCell ref="D46:D52"/>
    <mergeCell ref="J46:J52"/>
    <mergeCell ref="D41:D45"/>
    <mergeCell ref="J41:J45"/>
    <mergeCell ref="D31:D40"/>
    <mergeCell ref="C11:D11"/>
    <mergeCell ref="E11:F11"/>
    <mergeCell ref="J17:J18"/>
    <mergeCell ref="D19:D30"/>
    <mergeCell ref="C17:C18"/>
    <mergeCell ref="D17:E17"/>
    <mergeCell ref="F17:F18"/>
    <mergeCell ref="G17:G18"/>
    <mergeCell ref="I17:I18"/>
    <mergeCell ref="C7:K7"/>
    <mergeCell ref="C9:D9"/>
    <mergeCell ref="E9:F9"/>
    <mergeCell ref="C10:D10"/>
    <mergeCell ref="E10:F10"/>
  </mergeCells>
  <conditionalFormatting sqref="I19:I62">
    <cfRule type="cellIs" dxfId="19" priority="4" operator="between">
      <formula>0.75</formula>
      <formula>1</formula>
    </cfRule>
    <cfRule type="cellIs" dxfId="18" priority="5" operator="between">
      <formula>0.5</formula>
      <formula>0.74</formula>
    </cfRule>
    <cfRule type="cellIs" dxfId="17" priority="6" operator="between">
      <formula>0</formula>
      <formula>0.49</formula>
    </cfRule>
  </conditionalFormatting>
  <conditionalFormatting sqref="J53 J19:J31 J46 J41">
    <cfRule type="cellIs" priority="1" operator="between">
      <formula>0.75</formula>
      <formula>1</formula>
    </cfRule>
    <cfRule type="cellIs" dxfId="16" priority="2" operator="between">
      <formula>0.5</formula>
      <formula>0.75</formula>
    </cfRule>
    <cfRule type="cellIs" dxfId="15" priority="3" operator="between">
      <formula>0</formula>
      <formula>0.49</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7" operator="containsText" id="{B5EC0094-D2B5-49BB-B6F9-E988382E1263}">
            <xm:f>NOT(ISERROR(SEARCH($E$12,G19)))</xm:f>
            <xm:f>$E$12</xm:f>
            <x14:dxf>
              <fill>
                <patternFill>
                  <bgColor rgb="FFFF0000"/>
                </patternFill>
              </fill>
            </x14:dxf>
          </x14:cfRule>
          <x14:cfRule type="containsText" priority="8" operator="containsText" id="{D802A135-824D-43A0-835B-FE63514274DE}">
            <xm:f>NOT(ISERROR(SEARCH($E$11,G19)))</xm:f>
            <xm:f>$E$11</xm:f>
            <x14:dxf>
              <fill>
                <patternFill>
                  <bgColor rgb="FFFFFF00"/>
                </patternFill>
              </fill>
            </x14:dxf>
          </x14:cfRule>
          <x14:cfRule type="containsText" priority="9" operator="containsText" id="{D7844022-1CB2-4683-9B09-8D3EA8F0FDED}">
            <xm:f>NOT(ISERROR(SEARCH($E$10,G19)))</xm:f>
            <xm:f>$E$10</xm:f>
            <x14:dxf>
              <fill>
                <patternFill>
                  <bgColor rgb="FF00B050"/>
                </patternFill>
              </fill>
            </x14:dxf>
          </x14:cfRule>
          <xm:sqref>G19:G62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tabSelected="1" view="pageBreakPreview" zoomScale="60" zoomScaleNormal="64" workbookViewId="0">
      <selection activeCell="I34" sqref="I34:M34"/>
    </sheetView>
  </sheetViews>
  <sheetFormatPr baseColWidth="10" defaultColWidth="11.42578125" defaultRowHeight="15" x14ac:dyDescent="0.25"/>
  <cols>
    <col min="1" max="1" width="4.42578125" customWidth="1"/>
    <col min="3" max="3" width="35.5703125" customWidth="1"/>
    <col min="4" max="4" width="13" customWidth="1"/>
    <col min="5" max="5" width="43.28515625" customWidth="1"/>
    <col min="7" max="7" width="33.85546875" customWidth="1"/>
    <col min="9" max="9" width="92.28515625" customWidth="1"/>
    <col min="13" max="13" width="29" customWidth="1"/>
  </cols>
  <sheetData>
    <row r="1" spans="1:17" s="1" customFormat="1" x14ac:dyDescent="0.25"/>
    <row r="2" spans="1:17" ht="15.75" thickBot="1" x14ac:dyDescent="0.3">
      <c r="A2" s="1"/>
      <c r="B2" s="1"/>
      <c r="C2" s="1"/>
      <c r="D2" s="1"/>
      <c r="E2" s="1"/>
      <c r="F2" s="1"/>
      <c r="G2" s="1"/>
      <c r="H2" s="1"/>
      <c r="I2" s="1"/>
      <c r="J2" s="1"/>
      <c r="K2" s="1"/>
      <c r="L2" s="1"/>
      <c r="M2" s="1"/>
      <c r="N2" s="1"/>
      <c r="O2" s="1"/>
      <c r="P2" s="1"/>
      <c r="Q2" s="1"/>
    </row>
    <row r="3" spans="1:17" ht="15.75" thickTop="1" x14ac:dyDescent="0.25">
      <c r="A3" s="1"/>
      <c r="B3" s="2"/>
      <c r="C3" s="3"/>
      <c r="D3" s="3"/>
      <c r="E3" s="3"/>
      <c r="F3" s="3"/>
      <c r="G3" s="3"/>
      <c r="H3" s="3"/>
      <c r="I3" s="3"/>
      <c r="J3" s="3"/>
      <c r="K3" s="3"/>
      <c r="L3" s="3"/>
      <c r="M3" s="3"/>
      <c r="N3" s="3"/>
      <c r="O3" s="3"/>
      <c r="P3" s="4"/>
      <c r="Q3" s="1"/>
    </row>
    <row r="4" spans="1:17" ht="16.5" x14ac:dyDescent="0.3">
      <c r="A4" s="1"/>
      <c r="B4" s="5"/>
      <c r="C4" s="6"/>
      <c r="D4" s="6"/>
      <c r="E4" s="313" t="s">
        <v>124</v>
      </c>
      <c r="F4" s="315" t="s">
        <v>191</v>
      </c>
      <c r="G4" s="315"/>
      <c r="H4" s="315"/>
      <c r="I4" s="315"/>
      <c r="J4" s="315"/>
      <c r="K4" s="315"/>
      <c r="L4" s="315"/>
      <c r="M4" s="315"/>
      <c r="N4" s="7"/>
      <c r="O4" s="7"/>
      <c r="P4" s="8"/>
      <c r="Q4" s="1"/>
    </row>
    <row r="5" spans="1:17" ht="45.75" customHeight="1" x14ac:dyDescent="0.3">
      <c r="A5" s="1"/>
      <c r="B5" s="5"/>
      <c r="C5" s="6"/>
      <c r="D5" s="6"/>
      <c r="E5" s="314"/>
      <c r="F5" s="315"/>
      <c r="G5" s="315"/>
      <c r="H5" s="315"/>
      <c r="I5" s="315"/>
      <c r="J5" s="315"/>
      <c r="K5" s="315"/>
      <c r="L5" s="315"/>
      <c r="M5" s="315"/>
      <c r="N5" s="7"/>
      <c r="O5" s="7"/>
      <c r="P5" s="8"/>
      <c r="Q5" s="1"/>
    </row>
    <row r="6" spans="1:17" ht="66.75" customHeight="1" x14ac:dyDescent="0.3">
      <c r="A6" s="1"/>
      <c r="B6" s="5"/>
      <c r="C6" s="6"/>
      <c r="D6" s="6"/>
      <c r="E6" s="96" t="s">
        <v>125</v>
      </c>
      <c r="F6" s="316" t="s">
        <v>225</v>
      </c>
      <c r="G6" s="317"/>
      <c r="H6" s="317"/>
      <c r="I6" s="317"/>
      <c r="J6" s="317"/>
      <c r="K6" s="317"/>
      <c r="L6" s="317"/>
      <c r="M6" s="318"/>
      <c r="N6" s="9"/>
      <c r="O6" s="9"/>
      <c r="P6" s="8"/>
      <c r="Q6" s="1"/>
    </row>
    <row r="7" spans="1:17" ht="17.25" thickBot="1" x14ac:dyDescent="0.35">
      <c r="A7" s="1"/>
      <c r="B7" s="5"/>
      <c r="C7" s="6"/>
      <c r="D7" s="6"/>
      <c r="E7" s="10"/>
      <c r="F7" s="9"/>
      <c r="G7" s="9"/>
      <c r="H7" s="9"/>
      <c r="I7" s="9"/>
      <c r="J7" s="9"/>
      <c r="K7" s="9"/>
      <c r="L7" s="9"/>
      <c r="M7" s="6"/>
      <c r="N7" s="6"/>
      <c r="O7" s="6"/>
      <c r="P7" s="8"/>
      <c r="Q7" s="1"/>
    </row>
    <row r="8" spans="1:17" ht="97.5" customHeight="1" thickBot="1" x14ac:dyDescent="0.3">
      <c r="A8" s="1"/>
      <c r="B8" s="5"/>
      <c r="C8" s="6"/>
      <c r="D8" s="6"/>
      <c r="E8" s="6"/>
      <c r="F8" s="6"/>
      <c r="G8" s="6"/>
      <c r="H8" s="6"/>
      <c r="I8" s="319" t="s">
        <v>126</v>
      </c>
      <c r="J8" s="320"/>
      <c r="K8" s="321"/>
      <c r="L8" s="6"/>
      <c r="M8" s="149">
        <f>+AVERAGE(G26,G28,G30,G32,G34)</f>
        <v>0.74714285714285711</v>
      </c>
      <c r="N8" s="11"/>
      <c r="O8" s="11"/>
      <c r="P8" s="8"/>
      <c r="Q8" s="1"/>
    </row>
    <row r="9" spans="1:17" ht="15.75" x14ac:dyDescent="0.25">
      <c r="A9" s="1"/>
      <c r="B9" s="5"/>
      <c r="C9" s="6"/>
      <c r="D9" s="6"/>
      <c r="E9" s="6"/>
      <c r="F9" s="6"/>
      <c r="G9" s="6"/>
      <c r="H9" s="6"/>
      <c r="I9" s="6"/>
      <c r="J9" s="6"/>
      <c r="K9" s="6"/>
      <c r="L9" s="6"/>
      <c r="M9" s="12"/>
      <c r="N9" s="12"/>
      <c r="O9" s="12"/>
      <c r="P9" s="8"/>
      <c r="Q9" s="1"/>
    </row>
    <row r="10" spans="1:17" x14ac:dyDescent="0.25">
      <c r="A10" s="1"/>
      <c r="B10" s="5"/>
      <c r="C10" s="6"/>
      <c r="D10" s="6"/>
      <c r="E10" s="6"/>
      <c r="F10" s="6"/>
      <c r="G10" s="6"/>
      <c r="H10" s="6"/>
      <c r="I10" s="6"/>
      <c r="J10" s="6"/>
      <c r="K10" s="6"/>
      <c r="L10" s="6"/>
      <c r="M10" s="6"/>
      <c r="N10" s="6"/>
      <c r="O10" s="6"/>
      <c r="P10" s="8"/>
      <c r="Q10" s="1"/>
    </row>
    <row r="11" spans="1:17" x14ac:dyDescent="0.25">
      <c r="A11" s="1"/>
      <c r="B11" s="5"/>
      <c r="C11" s="6"/>
      <c r="D11" s="6"/>
      <c r="E11" s="6"/>
      <c r="F11" s="6"/>
      <c r="G11" s="6"/>
      <c r="H11" s="6"/>
      <c r="I11" s="6"/>
      <c r="J11" s="6"/>
      <c r="K11" s="6"/>
      <c r="L11" s="6"/>
      <c r="M11" s="6"/>
      <c r="N11" s="6"/>
      <c r="O11" s="6"/>
      <c r="P11" s="8"/>
      <c r="Q11" s="1"/>
    </row>
    <row r="12" spans="1:17" x14ac:dyDescent="0.25">
      <c r="A12" s="1"/>
      <c r="B12" s="5"/>
      <c r="C12" s="6"/>
      <c r="D12" s="6"/>
      <c r="E12" s="6"/>
      <c r="F12" s="6"/>
      <c r="G12" s="6"/>
      <c r="H12" s="6"/>
      <c r="I12" s="6"/>
      <c r="J12" s="6"/>
      <c r="K12" s="6"/>
      <c r="L12" s="6"/>
      <c r="M12" s="6"/>
      <c r="N12" s="6"/>
      <c r="O12" s="6"/>
      <c r="P12" s="8"/>
      <c r="Q12" s="1"/>
    </row>
    <row r="13" spans="1:17" x14ac:dyDescent="0.25">
      <c r="A13" s="1"/>
      <c r="B13" s="5"/>
      <c r="C13" s="6"/>
      <c r="D13" s="6"/>
      <c r="E13" s="6"/>
      <c r="F13" s="6"/>
      <c r="G13" s="6"/>
      <c r="H13" s="6"/>
      <c r="I13" s="6"/>
      <c r="J13" s="6"/>
      <c r="K13" s="6"/>
      <c r="L13" s="6"/>
      <c r="M13" s="6"/>
      <c r="N13" s="6"/>
      <c r="O13" s="6"/>
      <c r="P13" s="8"/>
      <c r="Q13" s="1"/>
    </row>
    <row r="14" spans="1:17" x14ac:dyDescent="0.25">
      <c r="A14" s="1"/>
      <c r="B14" s="5"/>
      <c r="C14" s="6"/>
      <c r="D14" s="6"/>
      <c r="E14" s="6"/>
      <c r="F14" s="6"/>
      <c r="G14" s="6"/>
      <c r="H14" s="6"/>
      <c r="I14" s="6"/>
      <c r="J14" s="6"/>
      <c r="K14" s="6"/>
      <c r="L14" s="6"/>
      <c r="M14" s="6"/>
      <c r="N14" s="6"/>
      <c r="O14" s="6"/>
      <c r="P14" s="8"/>
      <c r="Q14" s="1"/>
    </row>
    <row r="15" spans="1:17" x14ac:dyDescent="0.25">
      <c r="A15" s="1"/>
      <c r="B15" s="5"/>
      <c r="C15" s="6"/>
      <c r="D15" s="6"/>
      <c r="E15" s="6"/>
      <c r="F15" s="6"/>
      <c r="G15" s="6"/>
      <c r="H15" s="6"/>
      <c r="I15" s="6"/>
      <c r="J15" s="6"/>
      <c r="K15" s="6"/>
      <c r="L15" s="6"/>
      <c r="M15" s="6"/>
      <c r="N15" s="6"/>
      <c r="O15" s="6"/>
      <c r="P15" s="8"/>
      <c r="Q15" s="1"/>
    </row>
    <row r="16" spans="1:17" x14ac:dyDescent="0.25">
      <c r="A16" s="1"/>
      <c r="B16" s="5"/>
      <c r="C16" s="6"/>
      <c r="D16" s="6"/>
      <c r="E16" s="6"/>
      <c r="F16" s="6"/>
      <c r="G16" s="6"/>
      <c r="H16" s="6"/>
      <c r="I16" s="6"/>
      <c r="J16" s="6"/>
      <c r="K16" s="6"/>
      <c r="L16" s="6"/>
      <c r="M16" s="6"/>
      <c r="N16" s="6"/>
      <c r="O16" s="6"/>
      <c r="P16" s="8"/>
      <c r="Q16" s="1"/>
    </row>
    <row r="17" spans="1:17" x14ac:dyDescent="0.25">
      <c r="A17" s="1"/>
      <c r="B17" s="5"/>
      <c r="C17" s="6"/>
      <c r="D17" s="6"/>
      <c r="E17" s="6"/>
      <c r="F17" s="6"/>
      <c r="G17" s="6"/>
      <c r="H17" s="6"/>
      <c r="I17" s="6"/>
      <c r="J17" s="6"/>
      <c r="K17" s="6"/>
      <c r="L17" s="6"/>
      <c r="M17" s="6"/>
      <c r="N17" s="6"/>
      <c r="O17" s="6"/>
      <c r="P17" s="8"/>
      <c r="Q17" s="1"/>
    </row>
    <row r="18" spans="1:17" ht="23.25" x14ac:dyDescent="0.25">
      <c r="A18" s="1"/>
      <c r="B18" s="5"/>
      <c r="C18" s="322" t="s">
        <v>127</v>
      </c>
      <c r="D18" s="323"/>
      <c r="E18" s="323"/>
      <c r="F18" s="323"/>
      <c r="G18" s="323"/>
      <c r="H18" s="323"/>
      <c r="I18" s="323"/>
      <c r="J18" s="323"/>
      <c r="K18" s="323"/>
      <c r="L18" s="323"/>
      <c r="M18" s="324"/>
      <c r="N18" s="13"/>
      <c r="O18" s="13"/>
      <c r="P18" s="8"/>
      <c r="Q18" s="1"/>
    </row>
    <row r="19" spans="1:17" ht="16.5" thickBot="1" x14ac:dyDescent="0.3">
      <c r="A19" s="1"/>
      <c r="B19" s="5"/>
      <c r="C19" s="14"/>
      <c r="D19" s="14"/>
      <c r="E19" s="14"/>
      <c r="F19" s="14"/>
      <c r="G19" s="14"/>
      <c r="H19" s="14"/>
      <c r="I19" s="14"/>
      <c r="J19" s="14"/>
      <c r="K19" s="14"/>
      <c r="L19" s="14"/>
      <c r="M19" s="14"/>
      <c r="N19" s="15"/>
      <c r="O19" s="15"/>
      <c r="P19" s="8"/>
      <c r="Q19" s="1"/>
    </row>
    <row r="20" spans="1:17" ht="150" customHeight="1" x14ac:dyDescent="0.25">
      <c r="A20" s="1"/>
      <c r="B20" s="5"/>
      <c r="C20" s="325" t="s">
        <v>128</v>
      </c>
      <c r="D20" s="326"/>
      <c r="E20" s="152" t="s">
        <v>76</v>
      </c>
      <c r="F20" s="327" t="s">
        <v>240</v>
      </c>
      <c r="G20" s="327"/>
      <c r="H20" s="327"/>
      <c r="I20" s="327"/>
      <c r="J20" s="327"/>
      <c r="K20" s="327"/>
      <c r="L20" s="327"/>
      <c r="M20" s="328"/>
      <c r="N20" s="15"/>
      <c r="O20" s="15"/>
      <c r="P20" s="8"/>
      <c r="Q20" s="1"/>
    </row>
    <row r="21" spans="1:17" ht="126.75" customHeight="1" x14ac:dyDescent="0.25">
      <c r="A21" s="1"/>
      <c r="B21" s="5"/>
      <c r="C21" s="309" t="s">
        <v>129</v>
      </c>
      <c r="D21" s="310"/>
      <c r="E21" s="153" t="s">
        <v>39</v>
      </c>
      <c r="F21" s="329" t="s">
        <v>241</v>
      </c>
      <c r="G21" s="329"/>
      <c r="H21" s="329"/>
      <c r="I21" s="329"/>
      <c r="J21" s="329"/>
      <c r="K21" s="329"/>
      <c r="L21" s="329"/>
      <c r="M21" s="330"/>
      <c r="N21" s="15"/>
      <c r="O21" s="15"/>
      <c r="P21" s="8"/>
      <c r="Q21" s="1"/>
    </row>
    <row r="22" spans="1:17" ht="151.5" customHeight="1" thickBot="1" x14ac:dyDescent="0.3">
      <c r="A22" s="1"/>
      <c r="B22" s="5"/>
      <c r="C22" s="311" t="s">
        <v>130</v>
      </c>
      <c r="D22" s="312"/>
      <c r="E22" s="154" t="s">
        <v>39</v>
      </c>
      <c r="F22" s="331" t="s">
        <v>242</v>
      </c>
      <c r="G22" s="332"/>
      <c r="H22" s="332"/>
      <c r="I22" s="332"/>
      <c r="J22" s="332"/>
      <c r="K22" s="332"/>
      <c r="L22" s="332"/>
      <c r="M22" s="333"/>
      <c r="N22" s="15"/>
      <c r="O22" s="15"/>
      <c r="P22" s="8"/>
      <c r="Q22" s="1"/>
    </row>
    <row r="23" spans="1:17" x14ac:dyDescent="0.25">
      <c r="A23" s="1"/>
      <c r="B23" s="5"/>
      <c r="C23" s="6"/>
      <c r="D23" s="6"/>
      <c r="E23" s="6"/>
      <c r="F23" s="6"/>
      <c r="G23" s="16"/>
      <c r="H23" s="6"/>
      <c r="I23" s="6"/>
      <c r="J23" s="6"/>
      <c r="K23" s="6"/>
      <c r="L23" s="6"/>
      <c r="M23" s="6"/>
      <c r="N23" s="6"/>
      <c r="O23" s="6"/>
      <c r="P23" s="8"/>
      <c r="Q23" s="1"/>
    </row>
    <row r="24" spans="1:17" ht="78.75" x14ac:dyDescent="0.25">
      <c r="A24" s="1"/>
      <c r="B24" s="5"/>
      <c r="C24" s="99" t="s">
        <v>131</v>
      </c>
      <c r="D24" s="100"/>
      <c r="E24" s="99" t="s">
        <v>132</v>
      </c>
      <c r="F24" s="100"/>
      <c r="G24" s="99" t="s">
        <v>133</v>
      </c>
      <c r="H24" s="100"/>
      <c r="I24" s="303" t="s">
        <v>134</v>
      </c>
      <c r="J24" s="303"/>
      <c r="K24" s="303"/>
      <c r="L24" s="303"/>
      <c r="M24" s="303"/>
      <c r="N24" s="33"/>
      <c r="O24" s="33"/>
      <c r="P24" s="8"/>
      <c r="Q24" s="17"/>
    </row>
    <row r="25" spans="1:17" ht="13.5" customHeight="1" thickBot="1" x14ac:dyDescent="0.3">
      <c r="A25" s="1"/>
      <c r="B25" s="5"/>
      <c r="C25" s="32"/>
      <c r="D25" s="18"/>
      <c r="E25" s="18"/>
      <c r="F25" s="18"/>
      <c r="G25" s="18"/>
      <c r="H25" s="18"/>
      <c r="I25" s="307"/>
      <c r="J25" s="307"/>
      <c r="K25" s="307"/>
      <c r="L25" s="307"/>
      <c r="M25" s="307"/>
      <c r="N25" s="34"/>
      <c r="O25" s="34"/>
      <c r="P25" s="8"/>
      <c r="Q25" s="1"/>
    </row>
    <row r="26" spans="1:17" ht="208.5" customHeight="1" thickBot="1" x14ac:dyDescent="0.3">
      <c r="A26" s="1"/>
      <c r="B26" s="5"/>
      <c r="C26" s="90" t="s">
        <v>32</v>
      </c>
      <c r="D26" s="19"/>
      <c r="E26" s="150" t="str">
        <f>+IF(Hoja1!K2&gt;=0.5,"Si","No")</f>
        <v>Si</v>
      </c>
      <c r="F26" s="20"/>
      <c r="G26" s="151">
        <f>+Hoja1!K2</f>
        <v>0.75</v>
      </c>
      <c r="H26" s="20"/>
      <c r="I26" s="304" t="s">
        <v>243</v>
      </c>
      <c r="J26" s="305"/>
      <c r="K26" s="305"/>
      <c r="L26" s="305"/>
      <c r="M26" s="306"/>
      <c r="N26" s="35"/>
      <c r="O26" s="36"/>
      <c r="P26" s="21"/>
      <c r="Q26" s="22"/>
    </row>
    <row r="27" spans="1:17" ht="27" thickBot="1" x14ac:dyDescent="0.45">
      <c r="A27" s="1"/>
      <c r="B27" s="5"/>
      <c r="C27" s="91"/>
      <c r="D27" s="23"/>
      <c r="E27" s="98"/>
      <c r="F27" s="18"/>
      <c r="G27" s="24"/>
      <c r="H27" s="18"/>
      <c r="I27" s="308"/>
      <c r="J27" s="308"/>
      <c r="K27" s="308"/>
      <c r="L27" s="308"/>
      <c r="M27" s="308"/>
      <c r="N27" s="37"/>
      <c r="O27" s="37"/>
      <c r="P27" s="8"/>
      <c r="Q27" s="1"/>
    </row>
    <row r="28" spans="1:17" ht="130.5" customHeight="1" thickBot="1" x14ac:dyDescent="0.3">
      <c r="A28" s="1"/>
      <c r="B28" s="5"/>
      <c r="C28" s="92" t="s">
        <v>135</v>
      </c>
      <c r="D28" s="19"/>
      <c r="E28" s="150" t="str">
        <f>+IF(Hoja1!K14&gt;=0.5,"Si","No")</f>
        <v>Si</v>
      </c>
      <c r="F28" s="18"/>
      <c r="G28" s="151">
        <f>+Hoja1!K14</f>
        <v>0.7</v>
      </c>
      <c r="H28" s="18"/>
      <c r="I28" s="300" t="s">
        <v>244</v>
      </c>
      <c r="J28" s="301"/>
      <c r="K28" s="301"/>
      <c r="L28" s="301"/>
      <c r="M28" s="302"/>
      <c r="N28" s="35"/>
      <c r="O28" s="35"/>
      <c r="P28" s="8"/>
      <c r="Q28" s="1"/>
    </row>
    <row r="29" spans="1:17" ht="27" thickBot="1" x14ac:dyDescent="0.45">
      <c r="A29" s="1"/>
      <c r="B29" s="5"/>
      <c r="C29" s="91"/>
      <c r="D29" s="23"/>
      <c r="E29" s="98"/>
      <c r="F29" s="18"/>
      <c r="G29" s="24"/>
      <c r="H29" s="18"/>
      <c r="I29" s="308"/>
      <c r="J29" s="308"/>
      <c r="K29" s="308"/>
      <c r="L29" s="308"/>
      <c r="M29" s="308"/>
      <c r="N29" s="37"/>
      <c r="O29" s="37"/>
      <c r="P29" s="8"/>
      <c r="Q29" s="1"/>
    </row>
    <row r="30" spans="1:17" ht="151.5" customHeight="1" thickBot="1" x14ac:dyDescent="0.3">
      <c r="A30" s="1"/>
      <c r="B30" s="5"/>
      <c r="C30" s="93" t="s">
        <v>136</v>
      </c>
      <c r="D30" s="19"/>
      <c r="E30" s="150" t="str">
        <f>+IF(Hoja1!K24&gt;=0.5,"Si","No")</f>
        <v>Si</v>
      </c>
      <c r="F30" s="18"/>
      <c r="G30" s="151">
        <f>+Hoja1!K24</f>
        <v>0.7</v>
      </c>
      <c r="H30" s="18"/>
      <c r="I30" s="300" t="s">
        <v>235</v>
      </c>
      <c r="J30" s="301"/>
      <c r="K30" s="301"/>
      <c r="L30" s="301"/>
      <c r="M30" s="302"/>
      <c r="N30" s="35"/>
      <c r="O30" s="35"/>
      <c r="P30" s="8"/>
      <c r="Q30" s="1"/>
    </row>
    <row r="31" spans="1:17" ht="27" thickBot="1" x14ac:dyDescent="0.45">
      <c r="A31" s="1"/>
      <c r="B31" s="5"/>
      <c r="C31" s="91"/>
      <c r="D31" s="23"/>
      <c r="E31" s="98"/>
      <c r="F31" s="18"/>
      <c r="G31" s="24"/>
      <c r="H31" s="18"/>
      <c r="I31" s="308"/>
      <c r="J31" s="308"/>
      <c r="K31" s="308"/>
      <c r="L31" s="308"/>
      <c r="M31" s="308"/>
      <c r="N31" s="37"/>
      <c r="O31" s="37"/>
      <c r="P31" s="8"/>
      <c r="Q31" s="1"/>
    </row>
    <row r="32" spans="1:17" ht="171" customHeight="1" thickBot="1" x14ac:dyDescent="0.3">
      <c r="A32" s="1"/>
      <c r="B32" s="5"/>
      <c r="C32" s="94" t="s">
        <v>87</v>
      </c>
      <c r="D32" s="19"/>
      <c r="E32" s="150" t="str">
        <f>+IF(Hoja1!K29&gt;=0.5,"Si","No")</f>
        <v>Si</v>
      </c>
      <c r="F32" s="18"/>
      <c r="G32" s="151">
        <f>+Hoja1!K29</f>
        <v>0.7857142857142857</v>
      </c>
      <c r="H32" s="18"/>
      <c r="I32" s="300" t="s">
        <v>239</v>
      </c>
      <c r="J32" s="301"/>
      <c r="K32" s="301"/>
      <c r="L32" s="301"/>
      <c r="M32" s="302"/>
      <c r="N32" s="35"/>
      <c r="O32" s="35"/>
      <c r="P32" s="8"/>
      <c r="Q32" s="1"/>
    </row>
    <row r="33" spans="1:17" ht="27" thickBot="1" x14ac:dyDescent="0.45">
      <c r="A33" s="1"/>
      <c r="B33" s="5"/>
      <c r="C33" s="91"/>
      <c r="D33" s="23"/>
      <c r="E33" s="98"/>
      <c r="F33" s="18"/>
      <c r="G33" s="24"/>
      <c r="H33" s="18"/>
      <c r="I33" s="308"/>
      <c r="J33" s="308"/>
      <c r="K33" s="308"/>
      <c r="L33" s="308"/>
      <c r="M33" s="308"/>
      <c r="N33" s="37"/>
      <c r="O33" s="37"/>
      <c r="P33" s="8"/>
      <c r="Q33" s="1"/>
    </row>
    <row r="34" spans="1:17" ht="195.75" customHeight="1" thickBot="1" x14ac:dyDescent="0.3">
      <c r="A34" s="1"/>
      <c r="B34" s="5"/>
      <c r="C34" s="95" t="s">
        <v>137</v>
      </c>
      <c r="D34" s="19"/>
      <c r="E34" s="97" t="str">
        <f>+IF(Hoja1!K36&gt;=0.5,"Si","No")</f>
        <v>Si</v>
      </c>
      <c r="F34" s="18"/>
      <c r="G34" s="151">
        <f>+Hoja1!K36</f>
        <v>0.8</v>
      </c>
      <c r="H34" s="18"/>
      <c r="I34" s="300" t="s">
        <v>245</v>
      </c>
      <c r="J34" s="301"/>
      <c r="K34" s="301"/>
      <c r="L34" s="301"/>
      <c r="M34" s="302"/>
      <c r="N34" s="35"/>
      <c r="O34" s="35"/>
      <c r="P34" s="8"/>
      <c r="Q34" s="1"/>
    </row>
    <row r="35" spans="1:17" ht="15.75" x14ac:dyDescent="0.25">
      <c r="A35" s="1"/>
      <c r="B35" s="5"/>
      <c r="C35" s="25"/>
      <c r="D35" s="25"/>
      <c r="E35" s="15"/>
      <c r="F35" s="6"/>
      <c r="G35" s="6"/>
      <c r="H35" s="6"/>
      <c r="I35" s="6"/>
      <c r="J35" s="6"/>
      <c r="K35" s="6"/>
      <c r="L35" s="6"/>
      <c r="M35" s="26"/>
      <c r="N35" s="26"/>
      <c r="O35" s="26"/>
      <c r="P35" s="8"/>
      <c r="Q35" s="1"/>
    </row>
    <row r="36" spans="1:17" ht="15.75" x14ac:dyDescent="0.25">
      <c r="A36" s="1"/>
      <c r="B36" s="5"/>
      <c r="C36" s="27"/>
      <c r="D36" s="25"/>
      <c r="E36" s="15"/>
      <c r="F36" s="6"/>
      <c r="G36" s="6"/>
      <c r="H36" s="6"/>
      <c r="I36" s="6"/>
      <c r="J36" s="6"/>
      <c r="K36" s="6"/>
      <c r="L36" s="6"/>
      <c r="M36" s="26"/>
      <c r="N36" s="26"/>
      <c r="O36" s="26"/>
      <c r="P36" s="8"/>
      <c r="Q36" s="1"/>
    </row>
    <row r="37" spans="1:17" x14ac:dyDescent="0.25">
      <c r="A37" s="1"/>
      <c r="B37" s="5"/>
      <c r="C37" s="28"/>
      <c r="D37" s="6"/>
      <c r="E37" s="6"/>
      <c r="F37" s="6"/>
      <c r="G37" s="6"/>
      <c r="H37" s="6"/>
      <c r="I37" s="6"/>
      <c r="J37" s="6"/>
      <c r="K37" s="6"/>
      <c r="L37" s="6"/>
      <c r="M37" s="6"/>
      <c r="N37" s="6"/>
      <c r="O37" s="6"/>
      <c r="P37" s="8"/>
      <c r="Q37" s="1"/>
    </row>
    <row r="38" spans="1:17" ht="15.75" thickBot="1" x14ac:dyDescent="0.3">
      <c r="A38" s="1"/>
      <c r="B38" s="29"/>
      <c r="C38" s="30"/>
      <c r="D38" s="30"/>
      <c r="E38" s="30"/>
      <c r="F38" s="30"/>
      <c r="G38" s="30"/>
      <c r="H38" s="30"/>
      <c r="I38" s="30"/>
      <c r="J38" s="30"/>
      <c r="K38" s="30"/>
      <c r="L38" s="30"/>
      <c r="M38" s="30"/>
      <c r="N38" s="30"/>
      <c r="O38" s="30"/>
      <c r="P38" s="31"/>
      <c r="Q38" s="1"/>
    </row>
    <row r="39" spans="1:17" ht="15.75" thickTop="1"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sheetData>
  <sheetProtection algorithmName="SHA-512" hashValue="mur5Q3PEaZxn8LXLz/eSymodHMyMcb7gr8gXWBwpSU/m7uV0ZPVWkcKOdJlg0OS/SXBXX9P/iBb2vTO1mWy68A==" saltValue="abZlHLcGIMQMz4F8z7vkTw==" spinCount="100000" sheet="1" objects="1" scenarios="1" formatCells="0" formatRows="0"/>
  <mergeCells count="22">
    <mergeCell ref="C21:D21"/>
    <mergeCell ref="C22:D22"/>
    <mergeCell ref="E4:E5"/>
    <mergeCell ref="F4:M5"/>
    <mergeCell ref="F6:M6"/>
    <mergeCell ref="I8:K8"/>
    <mergeCell ref="C18:M18"/>
    <mergeCell ref="C20:D20"/>
    <mergeCell ref="F20:M20"/>
    <mergeCell ref="F21:M21"/>
    <mergeCell ref="F22:M22"/>
    <mergeCell ref="I34:M34"/>
    <mergeCell ref="I30:M30"/>
    <mergeCell ref="I32:M32"/>
    <mergeCell ref="I24:M24"/>
    <mergeCell ref="I26:M26"/>
    <mergeCell ref="I28:M28"/>
    <mergeCell ref="I25:M25"/>
    <mergeCell ref="I27:M27"/>
    <mergeCell ref="I29:M29"/>
    <mergeCell ref="I31:M31"/>
    <mergeCell ref="I33:M33"/>
  </mergeCells>
  <conditionalFormatting sqref="G26 G28 G30 G32 G34">
    <cfRule type="cellIs" priority="4" operator="between">
      <formula>0.75</formula>
      <formula>1</formula>
    </cfRule>
    <cfRule type="cellIs" dxfId="11" priority="5" operator="between">
      <formula>0.5</formula>
      <formula>0.75</formula>
    </cfRule>
    <cfRule type="cellIs" dxfId="10" priority="6" operator="between">
      <formula>0</formula>
      <formula>0.49</formula>
    </cfRule>
    <cfRule type="cellIs" dxfId="9" priority="31" operator="between">
      <formula>0.76</formula>
      <formula>1</formula>
    </cfRule>
    <cfRule type="cellIs" dxfId="8" priority="32" operator="between">
      <formula>0.51</formula>
      <formula>0.75</formula>
    </cfRule>
    <cfRule type="cellIs" dxfId="7" priority="33" operator="between">
      <formula>0.26</formula>
      <formula>0.5</formula>
    </cfRule>
  </conditionalFormatting>
  <conditionalFormatting sqref="M8">
    <cfRule type="cellIs" dxfId="6" priority="1" operator="between">
      <formula>0.75</formula>
      <formula>1</formula>
    </cfRule>
    <cfRule type="cellIs" dxfId="5" priority="2" operator="between">
      <formula>0.5</formula>
      <formula>0.75</formula>
    </cfRule>
    <cfRule type="cellIs" dxfId="4" priority="3" operator="between">
      <formula>0</formula>
      <formula>0.49</formula>
    </cfRule>
    <cfRule type="cellIs" priority="27" operator="between">
      <formula>0.76</formula>
      <formula>1</formula>
    </cfRule>
    <cfRule type="cellIs" dxfId="3" priority="28" operator="between">
      <formula>0.51</formula>
      <formula>0.75</formula>
    </cfRule>
    <cfRule type="cellIs" dxfId="2" priority="29" operator="between">
      <formula>0.26</formula>
      <formula>0.5</formula>
    </cfRule>
    <cfRule type="cellIs" dxfId="1" priority="30" operator="between">
      <formula>0</formula>
      <formula>0.25</formula>
    </cfRule>
  </conditionalFormatting>
  <dataValidations count="3">
    <dataValidation type="list" allowBlank="1" showInputMessage="1" showErrorMessage="1" sqref="E21:E22">
      <formula1>"Si, No"</formula1>
    </dataValidation>
    <dataValidation allowBlank="1" showInputMessage="1" showErrorMessage="1" prompt="Celda formulada, información proveniente de la pestaña de deficiencias." sqref="E24"/>
    <dataValidation type="list" allowBlank="1" showInputMessage="1" showErrorMessage="1" sqref="E20">
      <formula1>"Si,En proceso,No"</formula1>
    </dataValidation>
  </dataValidations>
  <printOptions horizontalCentered="1" verticalCentered="1"/>
  <pageMargins left="0.51181102362204722" right="0.51181102362204722" top="0.74803149606299213" bottom="0.74803149606299213" header="0.31496062992125984" footer="0.31496062992125984"/>
  <pageSetup paperSize="5" scale="5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34" operator="between" id="{7ADAD4B9-72C7-4518-BD8A-A7D8DD349CD9}">
            <xm:f>0</xm:f>
            <xm:f>'C:\Users\dell\Desktop\cesar\HISTORICOS\[2020-04-22_Formato_informe_sci_parametrizado_final.xlsx]Analisis de Resultados'!#REF!</xm:f>
            <x14:dxf>
              <fill>
                <patternFill>
                  <bgColor rgb="FFFF0000"/>
                </patternFill>
              </fill>
            </x14:dxf>
          </x14:cfRule>
          <xm:sqref>G26 G28 G30 G32 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workbookViewId="0">
      <selection activeCell="F2" sqref="F2"/>
    </sheetView>
  </sheetViews>
  <sheetFormatPr baseColWidth="10" defaultColWidth="11.42578125" defaultRowHeight="15" x14ac:dyDescent="0.25"/>
  <cols>
    <col min="2" max="2" width="31" bestFit="1" customWidth="1"/>
    <col min="3" max="3" width="17.140625" customWidth="1"/>
    <col min="5" max="5" width="15.140625" customWidth="1"/>
    <col min="10" max="10" width="15.7109375" customWidth="1"/>
    <col min="11" max="11" width="12" bestFit="1" customWidth="1"/>
  </cols>
  <sheetData>
    <row r="1" spans="1:11" ht="84.75" customHeight="1" x14ac:dyDescent="0.25">
      <c r="A1" s="155" t="s">
        <v>25</v>
      </c>
      <c r="B1" s="155" t="s">
        <v>6</v>
      </c>
      <c r="C1" s="156" t="s">
        <v>8</v>
      </c>
      <c r="D1" s="157" t="s">
        <v>26</v>
      </c>
      <c r="E1" s="157" t="s">
        <v>27</v>
      </c>
      <c r="F1" s="157" t="s">
        <v>138</v>
      </c>
      <c r="G1" s="158" t="s">
        <v>139</v>
      </c>
      <c r="H1" s="158" t="s">
        <v>140</v>
      </c>
      <c r="I1" s="158" t="s">
        <v>119</v>
      </c>
      <c r="J1" s="158" t="s">
        <v>141</v>
      </c>
      <c r="K1" s="158" t="s">
        <v>142</v>
      </c>
    </row>
    <row r="2" spans="1:11" x14ac:dyDescent="0.25">
      <c r="A2" s="159" t="s">
        <v>143</v>
      </c>
      <c r="B2" s="159" t="str">
        <f>+VLOOKUP(A2,'Estado SCI'!$A$16:$C$59,3,0)</f>
        <v>AMBIENTE DE CONTROL</v>
      </c>
      <c r="C2" s="159" t="s">
        <v>33</v>
      </c>
      <c r="D2" s="159" t="s">
        <v>34</v>
      </c>
      <c r="E2" s="159" t="s">
        <v>35</v>
      </c>
      <c r="F2" s="159" t="str">
        <f>+VLOOKUP(A2,'Estado SCI'!$A$16:$I$59,9,0)</f>
        <v>Deficiencia de control</v>
      </c>
      <c r="G2" s="159">
        <f>+VLOOKUP(A2,'Estado SCI'!$A$16:$L$59,12,0)</f>
        <v>0.123</v>
      </c>
      <c r="H2" s="159">
        <f t="shared" ref="H2:H45" si="0">+_xlfn.RANK.EQ(G2,$G$2:$G$45,1)</f>
        <v>1</v>
      </c>
      <c r="I2" s="159" t="str">
        <f>+IF(VLOOKUP(A2,'Estado SCI'!$A$16:$G$59,7,0)="","",VLOOKUP(A2,'Estado SCI'!$A$16:$G$59,7,0))</f>
        <v>No</v>
      </c>
      <c r="J2" s="160">
        <f>+IF(I2="Si",1,IF(I2="En proceso",0.5,0))</f>
        <v>0</v>
      </c>
      <c r="K2" s="161">
        <f t="shared" ref="K2:K45" si="1">+AVERAGEIF($B$2:$B$45,B2,$J$2:$J$45)</f>
        <v>0.75</v>
      </c>
    </row>
    <row r="3" spans="1:11" x14ac:dyDescent="0.25">
      <c r="A3" s="159" t="s">
        <v>144</v>
      </c>
      <c r="B3" s="159" t="s">
        <v>32</v>
      </c>
      <c r="C3" s="159" t="s">
        <v>33</v>
      </c>
      <c r="D3" s="159" t="s">
        <v>37</v>
      </c>
      <c r="E3" s="159" t="s">
        <v>38</v>
      </c>
      <c r="F3" s="159" t="str">
        <f>+VLOOKUP(A3,'Estado SCI'!$A$16:$I$59,9,0)</f>
        <v>Mantenimiento del control</v>
      </c>
      <c r="G3" s="159">
        <f>+VLOOKUP(A3,'Estado SCI'!$A$16:$L$59,12,0)</f>
        <v>20.1234</v>
      </c>
      <c r="H3" s="159">
        <f t="shared" si="0"/>
        <v>5</v>
      </c>
      <c r="I3" s="159" t="str">
        <f>+IF(VLOOKUP(A3,'Estado SCI'!$A$16:$G$59,7,0)="","",VLOOKUP(A3,'Estado SCI'!$A$16:$G$59,7,0))</f>
        <v>Si</v>
      </c>
      <c r="J3" s="160">
        <f t="shared" ref="J3:J45" si="2">+IF(I3="Si",1,IF(I3="En proceso",0.5,0))</f>
        <v>1</v>
      </c>
      <c r="K3" s="161">
        <f t="shared" si="1"/>
        <v>0.75</v>
      </c>
    </row>
    <row r="4" spans="1:11" x14ac:dyDescent="0.25">
      <c r="A4" s="159" t="s">
        <v>145</v>
      </c>
      <c r="B4" s="159" t="s">
        <v>32</v>
      </c>
      <c r="C4" s="159" t="s">
        <v>33</v>
      </c>
      <c r="D4" s="159" t="s">
        <v>40</v>
      </c>
      <c r="E4" s="159" t="s">
        <v>41</v>
      </c>
      <c r="F4" s="159" t="str">
        <f>+VLOOKUP(A4,'Estado SCI'!$A$16:$I$59,9,0)</f>
        <v>Mantenimiento del control</v>
      </c>
      <c r="G4" s="159">
        <f>+VLOOKUP(A4,'Estado SCI'!$A$16:$L$59,12,0)</f>
        <v>20.123449999999998</v>
      </c>
      <c r="H4" s="159">
        <f t="shared" si="0"/>
        <v>6</v>
      </c>
      <c r="I4" s="159" t="str">
        <f>+IF(VLOOKUP(A4,'Estado SCI'!$A$16:$G$59,7,0)="","",VLOOKUP(A4,'Estado SCI'!$A$16:$G$59,7,0))</f>
        <v>Si</v>
      </c>
      <c r="J4" s="160">
        <f t="shared" si="2"/>
        <v>1</v>
      </c>
      <c r="K4" s="161">
        <f t="shared" si="1"/>
        <v>0.75</v>
      </c>
    </row>
    <row r="5" spans="1:11" x14ac:dyDescent="0.25">
      <c r="A5" s="159" t="s">
        <v>146</v>
      </c>
      <c r="B5" s="159" t="s">
        <v>32</v>
      </c>
      <c r="C5" s="159" t="s">
        <v>33</v>
      </c>
      <c r="D5" s="159" t="s">
        <v>42</v>
      </c>
      <c r="E5" s="159" t="s">
        <v>43</v>
      </c>
      <c r="F5" s="159" t="str">
        <f>+VLOOKUP(A5,'Estado SCI'!$A$16:$I$59,9,0)</f>
        <v>Mantenimiento del control</v>
      </c>
      <c r="G5" s="159">
        <f>+VLOOKUP(A5,'Estado SCI'!$A$16:$L$59,12,0)</f>
        <v>20.123456000000001</v>
      </c>
      <c r="H5" s="159">
        <f t="shared" si="0"/>
        <v>7</v>
      </c>
      <c r="I5" s="159" t="str">
        <f>+IF(VLOOKUP(A5,'Estado SCI'!$A$16:$G$59,7,0)="","",VLOOKUP(A5,'Estado SCI'!$A$16:$G$59,7,0))</f>
        <v>Si</v>
      </c>
      <c r="J5" s="160">
        <f t="shared" si="2"/>
        <v>1</v>
      </c>
      <c r="K5" s="161">
        <f t="shared" si="1"/>
        <v>0.75</v>
      </c>
    </row>
    <row r="6" spans="1:11" x14ac:dyDescent="0.25">
      <c r="A6" s="159" t="s">
        <v>147</v>
      </c>
      <c r="B6" s="159" t="s">
        <v>32</v>
      </c>
      <c r="C6" s="159" t="s">
        <v>33</v>
      </c>
      <c r="D6" s="159" t="s">
        <v>44</v>
      </c>
      <c r="E6" s="159" t="s">
        <v>45</v>
      </c>
      <c r="F6" s="159" t="str">
        <f>+VLOOKUP(A6,'Estado SCI'!$A$16:$I$59,9,0)</f>
        <v>Oportunidad de mejora</v>
      </c>
      <c r="G6" s="159">
        <f>+VLOOKUP(A6,'Estado SCI'!$A$16:$L$59,12,0)</f>
        <v>10.12345678</v>
      </c>
      <c r="H6" s="159">
        <f t="shared" si="0"/>
        <v>3</v>
      </c>
      <c r="I6" s="159" t="str">
        <f>+IF(VLOOKUP(A6,'Estado SCI'!$A$16:$G$59,7,0)="","",VLOOKUP(A6,'Estado SCI'!$A$16:$G$59,7,0))</f>
        <v>En proceso</v>
      </c>
      <c r="J6" s="160">
        <f t="shared" si="2"/>
        <v>0.5</v>
      </c>
      <c r="K6" s="161">
        <f t="shared" si="1"/>
        <v>0.75</v>
      </c>
    </row>
    <row r="7" spans="1:11" x14ac:dyDescent="0.25">
      <c r="A7" s="159" t="s">
        <v>148</v>
      </c>
      <c r="B7" s="159" t="s">
        <v>32</v>
      </c>
      <c r="C7" s="159" t="s">
        <v>33</v>
      </c>
      <c r="D7" s="159" t="s">
        <v>46</v>
      </c>
      <c r="E7" s="159" t="s">
        <v>47</v>
      </c>
      <c r="F7" s="159" t="str">
        <f>+VLOOKUP(A7,'Estado SCI'!$A$16:$I$59,9,0)</f>
        <v>Oportunidad de mejora</v>
      </c>
      <c r="G7" s="159">
        <f>+VLOOKUP(A7,'Estado SCI'!$A$16:$L$59,12,0)</f>
        <v>10.123456789</v>
      </c>
      <c r="H7" s="159">
        <f t="shared" si="0"/>
        <v>4</v>
      </c>
      <c r="I7" s="159" t="str">
        <f>+IF(VLOOKUP(A7,'Estado SCI'!$A$16:$G$59,7,0)="","",VLOOKUP(A7,'Estado SCI'!$A$16:$G$59,7,0))</f>
        <v>En proceso</v>
      </c>
      <c r="J7" s="160">
        <f t="shared" si="2"/>
        <v>0.5</v>
      </c>
      <c r="K7" s="161">
        <f t="shared" si="1"/>
        <v>0.75</v>
      </c>
    </row>
    <row r="8" spans="1:11" x14ac:dyDescent="0.25">
      <c r="A8" s="159" t="s">
        <v>149</v>
      </c>
      <c r="B8" s="159" t="s">
        <v>32</v>
      </c>
      <c r="C8" s="159" t="s">
        <v>33</v>
      </c>
      <c r="D8" s="159" t="s">
        <v>48</v>
      </c>
      <c r="E8" s="159" t="s">
        <v>49</v>
      </c>
      <c r="F8" s="159" t="str">
        <f>+VLOOKUP(A8,'Estado SCI'!$A$16:$I$59,9,0)</f>
        <v>Mantenimiento del control</v>
      </c>
      <c r="G8" s="159">
        <f>+VLOOKUP(A8,'Estado SCI'!$A$16:$L$59,12,0)</f>
        <v>20.1234567891</v>
      </c>
      <c r="H8" s="159">
        <f t="shared" si="0"/>
        <v>8</v>
      </c>
      <c r="I8" s="159" t="str">
        <f>+IF(VLOOKUP(A8,'Estado SCI'!$A$16:$G$59,7,0)="","",VLOOKUP(A8,'Estado SCI'!$A$16:$G$59,7,0))</f>
        <v>Si</v>
      </c>
      <c r="J8" s="160">
        <f t="shared" si="2"/>
        <v>1</v>
      </c>
      <c r="K8" s="161">
        <f t="shared" si="1"/>
        <v>0.75</v>
      </c>
    </row>
    <row r="9" spans="1:11" x14ac:dyDescent="0.25">
      <c r="A9" s="159" t="s">
        <v>150</v>
      </c>
      <c r="B9" s="159" t="s">
        <v>32</v>
      </c>
      <c r="C9" s="159" t="s">
        <v>33</v>
      </c>
      <c r="D9" s="159" t="s">
        <v>50</v>
      </c>
      <c r="E9" s="159" t="s">
        <v>51</v>
      </c>
      <c r="F9" s="159" t="str">
        <f>+VLOOKUP(A9,'Estado SCI'!$A$16:$I$59,9,0)</f>
        <v>Mantenimiento del control</v>
      </c>
      <c r="G9" s="159">
        <f>+VLOOKUP(A9,'Estado SCI'!$A$16:$L$59,12,0)</f>
        <v>20.123456789119999</v>
      </c>
      <c r="H9" s="159">
        <f t="shared" si="0"/>
        <v>9</v>
      </c>
      <c r="I9" s="159" t="str">
        <f>+IF(VLOOKUP(A9,'Estado SCI'!$A$16:$G$59,7,0)="","",VLOOKUP(A9,'Estado SCI'!$A$16:$G$59,7,0))</f>
        <v>Si</v>
      </c>
      <c r="J9" s="160">
        <f t="shared" si="2"/>
        <v>1</v>
      </c>
      <c r="K9" s="161">
        <f t="shared" si="1"/>
        <v>0.75</v>
      </c>
    </row>
    <row r="10" spans="1:11" x14ac:dyDescent="0.25">
      <c r="A10" s="159" t="s">
        <v>151</v>
      </c>
      <c r="B10" s="159" t="s">
        <v>32</v>
      </c>
      <c r="C10" s="159" t="s">
        <v>33</v>
      </c>
      <c r="D10" s="159" t="s">
        <v>52</v>
      </c>
      <c r="E10" s="159" t="s">
        <v>53</v>
      </c>
      <c r="F10" s="159" t="str">
        <f>+VLOOKUP(A10,'Estado SCI'!$A$16:$I$59,9,0)</f>
        <v>Deficiencia de control</v>
      </c>
      <c r="G10" s="159">
        <f>+VLOOKUP(A10,'Estado SCI'!$A$16:$L$59,12,0)</f>
        <v>0.123456789123</v>
      </c>
      <c r="H10" s="159">
        <f t="shared" si="0"/>
        <v>2</v>
      </c>
      <c r="I10" s="159" t="str">
        <f>+IF(VLOOKUP(A10,'Estado SCI'!$A$16:$G$59,7,0)="","",VLOOKUP(A10,'Estado SCI'!$A$16:$G$59,7,0))</f>
        <v>No</v>
      </c>
      <c r="J10" s="160">
        <f t="shared" si="2"/>
        <v>0</v>
      </c>
      <c r="K10" s="161">
        <f t="shared" si="1"/>
        <v>0.75</v>
      </c>
    </row>
    <row r="11" spans="1:11" x14ac:dyDescent="0.25">
      <c r="A11" s="159" t="s">
        <v>152</v>
      </c>
      <c r="B11" s="159" t="s">
        <v>32</v>
      </c>
      <c r="C11" s="159" t="s">
        <v>33</v>
      </c>
      <c r="D11" s="159" t="s">
        <v>54</v>
      </c>
      <c r="E11" s="159" t="s">
        <v>55</v>
      </c>
      <c r="F11" s="159" t="str">
        <f>+VLOOKUP(A11,'Estado SCI'!$A$16:$I$59,9,0)</f>
        <v>Mantenimiento del control</v>
      </c>
      <c r="G11" s="159">
        <f>+VLOOKUP(A11,'Estado SCI'!$A$16:$L$59,12,0)</f>
        <v>20.123456789123399</v>
      </c>
      <c r="H11" s="159">
        <f t="shared" si="0"/>
        <v>10</v>
      </c>
      <c r="I11" s="159" t="str">
        <f>+IF(VLOOKUP(A11,'Estado SCI'!$A$16:$G$59,7,0)="","",VLOOKUP(A11,'Estado SCI'!$A$16:$G$59,7,0))</f>
        <v>Si</v>
      </c>
      <c r="J11" s="160">
        <f t="shared" si="2"/>
        <v>1</v>
      </c>
      <c r="K11" s="161">
        <f t="shared" si="1"/>
        <v>0.75</v>
      </c>
    </row>
    <row r="12" spans="1:11" x14ac:dyDescent="0.25">
      <c r="A12" s="159" t="s">
        <v>153</v>
      </c>
      <c r="B12" s="159" t="s">
        <v>32</v>
      </c>
      <c r="C12" s="159" t="s">
        <v>33</v>
      </c>
      <c r="D12" s="159" t="s">
        <v>56</v>
      </c>
      <c r="E12" s="159" t="s">
        <v>57</v>
      </c>
      <c r="F12" s="159" t="str">
        <f>+VLOOKUP(A12,'Estado SCI'!$A$16:$I$59,9,0)</f>
        <v>Mantenimiento del control</v>
      </c>
      <c r="G12" s="159">
        <f>+VLOOKUP(A12,'Estado SCI'!$A$16:$L$59,12,0)</f>
        <v>20.123456789123448</v>
      </c>
      <c r="H12" s="159">
        <f t="shared" si="0"/>
        <v>11</v>
      </c>
      <c r="I12" s="159" t="str">
        <f>+IF(VLOOKUP(A12,'Estado SCI'!$A$16:$G$59,7,0)="","",VLOOKUP(A12,'Estado SCI'!$A$16:$G$59,7,0))</f>
        <v>Si</v>
      </c>
      <c r="J12" s="160">
        <f t="shared" si="2"/>
        <v>1</v>
      </c>
      <c r="K12" s="161">
        <f t="shared" si="1"/>
        <v>0.75</v>
      </c>
    </row>
    <row r="13" spans="1:11" x14ac:dyDescent="0.25">
      <c r="A13" s="159" t="s">
        <v>154</v>
      </c>
      <c r="B13" s="159" t="s">
        <v>32</v>
      </c>
      <c r="C13" s="159" t="s">
        <v>33</v>
      </c>
      <c r="D13" s="159" t="s">
        <v>58</v>
      </c>
      <c r="E13" s="159" t="s">
        <v>59</v>
      </c>
      <c r="F13" s="159" t="str">
        <f>+VLOOKUP(A13,'Estado SCI'!$A$16:$I$59,9,0)</f>
        <v>Mantenimiento del control</v>
      </c>
      <c r="G13" s="159">
        <f>+VLOOKUP(A13,'Estado SCI'!$A$16:$L$59,12,0)</f>
        <v>20.123456789123455</v>
      </c>
      <c r="H13" s="159">
        <f t="shared" si="0"/>
        <v>12</v>
      </c>
      <c r="I13" s="159" t="str">
        <f>+IF(VLOOKUP(A13,'Estado SCI'!$A$16:$G$59,7,0)="","",VLOOKUP(A13,'Estado SCI'!$A$16:$G$59,7,0))</f>
        <v>Si</v>
      </c>
      <c r="J13" s="160">
        <f t="shared" si="2"/>
        <v>1</v>
      </c>
      <c r="K13" s="161">
        <f t="shared" si="1"/>
        <v>0.75</v>
      </c>
    </row>
    <row r="14" spans="1:11" ht="15" customHeight="1" x14ac:dyDescent="0.25">
      <c r="A14" s="159" t="s">
        <v>155</v>
      </c>
      <c r="B14" s="159" t="str">
        <f>+VLOOKUP(A14,'Estado SCI'!$A$16:$C$59,3,0)</f>
        <v>EVALUACION DEL RIESGO</v>
      </c>
      <c r="C14" s="159" t="s">
        <v>62</v>
      </c>
      <c r="D14" s="159" t="s">
        <v>34</v>
      </c>
      <c r="E14" s="159" t="s">
        <v>156</v>
      </c>
      <c r="F14" s="159" t="str">
        <f>+VLOOKUP(A14,'Estado SCI'!$A$16:$I$59,9,0)</f>
        <v>Mantenimiento del control</v>
      </c>
      <c r="G14" s="159">
        <f>+VLOOKUP(A14,'Estado SCI'!$A$16:$L$59,12,0)</f>
        <v>40.229999999999997</v>
      </c>
      <c r="H14" s="159">
        <f t="shared" si="0"/>
        <v>18</v>
      </c>
      <c r="I14" s="159" t="str">
        <f>+IF(VLOOKUP(A14,'Estado SCI'!$A$16:$G$59,7,0)="","",VLOOKUP(A14,'Estado SCI'!$A$16:$G$59,7,0))</f>
        <v>Si</v>
      </c>
      <c r="J14" s="160">
        <f t="shared" si="2"/>
        <v>1</v>
      </c>
      <c r="K14" s="161">
        <f t="shared" si="1"/>
        <v>0.7</v>
      </c>
    </row>
    <row r="15" spans="1:11" ht="15" customHeight="1" x14ac:dyDescent="0.25">
      <c r="A15" s="159" t="s">
        <v>157</v>
      </c>
      <c r="B15" s="159" t="s">
        <v>61</v>
      </c>
      <c r="C15" s="159" t="s">
        <v>62</v>
      </c>
      <c r="D15" s="159" t="s">
        <v>37</v>
      </c>
      <c r="E15" s="159" t="s">
        <v>158</v>
      </c>
      <c r="F15" s="159" t="str">
        <f>+VLOOKUP(A15,'Estado SCI'!$A$16:$I$59,9,0)</f>
        <v>Oportunidad de mejora</v>
      </c>
      <c r="G15" s="159">
        <f>+VLOOKUP(A15,'Estado SCI'!$A$16:$L$59,12,0)</f>
        <v>30.234000000000002</v>
      </c>
      <c r="H15" s="159">
        <f t="shared" si="0"/>
        <v>14</v>
      </c>
      <c r="I15" s="159" t="str">
        <f>+IF(VLOOKUP(A15,'Estado SCI'!$A$16:$G$59,7,0)="","",VLOOKUP(A15,'Estado SCI'!$A$16:$G$59,7,0))</f>
        <v>En proceso</v>
      </c>
      <c r="J15" s="160">
        <f t="shared" si="2"/>
        <v>0.5</v>
      </c>
      <c r="K15" s="161">
        <f t="shared" si="1"/>
        <v>0.7</v>
      </c>
    </row>
    <row r="16" spans="1:11" ht="15" customHeight="1" x14ac:dyDescent="0.25">
      <c r="A16" s="159" t="s">
        <v>159</v>
      </c>
      <c r="B16" s="159" t="s">
        <v>61</v>
      </c>
      <c r="C16" s="159" t="s">
        <v>62</v>
      </c>
      <c r="D16" s="159" t="s">
        <v>40</v>
      </c>
      <c r="E16" s="159" t="s">
        <v>160</v>
      </c>
      <c r="F16" s="159" t="str">
        <f>+VLOOKUP(A16,'Estado SCI'!$A$16:$I$59,9,0)</f>
        <v>Oportunidad de mejora</v>
      </c>
      <c r="G16" s="159">
        <f>+VLOOKUP(A16,'Estado SCI'!$A$16:$L$59,12,0)</f>
        <v>30.234500000000001</v>
      </c>
      <c r="H16" s="159">
        <f t="shared" si="0"/>
        <v>15</v>
      </c>
      <c r="I16" s="159" t="str">
        <f>+IF(VLOOKUP(A16,'Estado SCI'!$A$16:$G$59,7,0)="","",VLOOKUP(A16,'Estado SCI'!$A$16:$G$59,7,0))</f>
        <v>En proceso</v>
      </c>
      <c r="J16" s="160">
        <f t="shared" si="2"/>
        <v>0.5</v>
      </c>
      <c r="K16" s="161">
        <f t="shared" si="1"/>
        <v>0.7</v>
      </c>
    </row>
    <row r="17" spans="1:11" ht="15.75" customHeight="1" x14ac:dyDescent="0.25">
      <c r="A17" s="159" t="s">
        <v>161</v>
      </c>
      <c r="B17" s="159" t="s">
        <v>61</v>
      </c>
      <c r="C17" s="159" t="s">
        <v>62</v>
      </c>
      <c r="D17" s="159" t="s">
        <v>42</v>
      </c>
      <c r="E17" s="159" t="s">
        <v>66</v>
      </c>
      <c r="F17" s="159" t="str">
        <f>+VLOOKUP(A17,'Estado SCI'!$A$16:$I$59,9,0)</f>
        <v>Deficiencia de control</v>
      </c>
      <c r="G17" s="159">
        <f>+VLOOKUP(A17,'Estado SCI'!$A$16:$L$59,12,0)</f>
        <v>20.234559999999998</v>
      </c>
      <c r="H17" s="159">
        <f t="shared" si="0"/>
        <v>13</v>
      </c>
      <c r="I17" s="159" t="str">
        <f>+IF(VLOOKUP(A17,'Estado SCI'!$A$16:$G$59,7,0)="","",VLOOKUP(A17,'Estado SCI'!$A$16:$G$59,7,0))</f>
        <v xml:space="preserve">No  </v>
      </c>
      <c r="J17" s="160">
        <f t="shared" si="2"/>
        <v>0</v>
      </c>
      <c r="K17" s="161">
        <f t="shared" si="1"/>
        <v>0.7</v>
      </c>
    </row>
    <row r="18" spans="1:11" ht="15" customHeight="1" x14ac:dyDescent="0.25">
      <c r="A18" s="159" t="s">
        <v>162</v>
      </c>
      <c r="B18" s="159" t="s">
        <v>61</v>
      </c>
      <c r="C18" s="159" t="s">
        <v>80</v>
      </c>
      <c r="D18" s="159" t="s">
        <v>34</v>
      </c>
      <c r="E18" s="159" t="s">
        <v>69</v>
      </c>
      <c r="F18" s="159" t="str">
        <f>+VLOOKUP(A18,'Estado SCI'!$A$16:$I$59,9,0)</f>
        <v>Mantenimiento del control</v>
      </c>
      <c r="G18" s="159">
        <f>+VLOOKUP(A18,'Estado SCI'!$A$16:$L$59,12,0)</f>
        <v>40.234566999999998</v>
      </c>
      <c r="H18" s="159">
        <f t="shared" si="0"/>
        <v>19</v>
      </c>
      <c r="I18" s="159" t="str">
        <f>+IF(VLOOKUP(A18,'Estado SCI'!$A$16:$G$59,7,0)="","",VLOOKUP(A18,'Estado SCI'!$A$16:$G$59,7,0))</f>
        <v>Si</v>
      </c>
      <c r="J18" s="160">
        <f t="shared" si="2"/>
        <v>1</v>
      </c>
      <c r="K18" s="161">
        <f t="shared" si="1"/>
        <v>0.7</v>
      </c>
    </row>
    <row r="19" spans="1:11" ht="15" customHeight="1" x14ac:dyDescent="0.25">
      <c r="A19" s="159" t="s">
        <v>163</v>
      </c>
      <c r="B19" s="159" t="s">
        <v>61</v>
      </c>
      <c r="C19" s="159" t="s">
        <v>80</v>
      </c>
      <c r="D19" s="159" t="s">
        <v>37</v>
      </c>
      <c r="E19" s="159" t="s">
        <v>70</v>
      </c>
      <c r="F19" s="159" t="str">
        <f>+VLOOKUP(A19,'Estado SCI'!$A$16:$I$59,9,0)</f>
        <v>Oportunidad de mejora</v>
      </c>
      <c r="G19" s="159">
        <f>+VLOOKUP(A19,'Estado SCI'!$A$16:$L$59,12,0)</f>
        <v>30.234567800000001</v>
      </c>
      <c r="H19" s="159">
        <f t="shared" si="0"/>
        <v>16</v>
      </c>
      <c r="I19" s="159" t="str">
        <f>+IF(VLOOKUP(A19,'Estado SCI'!$A$16:$G$59,7,0)="","",VLOOKUP(A19,'Estado SCI'!$A$16:$G$59,7,0))</f>
        <v>En proceso</v>
      </c>
      <c r="J19" s="160">
        <f t="shared" si="2"/>
        <v>0.5</v>
      </c>
      <c r="K19" s="161">
        <f t="shared" si="1"/>
        <v>0.7</v>
      </c>
    </row>
    <row r="20" spans="1:11" ht="15" customHeight="1" x14ac:dyDescent="0.25">
      <c r="A20" s="159" t="s">
        <v>164</v>
      </c>
      <c r="B20" s="159" t="s">
        <v>61</v>
      </c>
      <c r="C20" s="159" t="s">
        <v>80</v>
      </c>
      <c r="D20" s="159" t="s">
        <v>40</v>
      </c>
      <c r="E20" s="159" t="s">
        <v>71</v>
      </c>
      <c r="F20" s="159" t="str">
        <f>+VLOOKUP(A20,'Estado SCI'!$A$16:$I$59,9,0)</f>
        <v>Mantenimiento del control</v>
      </c>
      <c r="G20" s="159">
        <f>+VLOOKUP(A20,'Estado SCI'!$A$16:$L$59,12,0)</f>
        <v>40.234567890000001</v>
      </c>
      <c r="H20" s="159">
        <f t="shared" si="0"/>
        <v>20</v>
      </c>
      <c r="I20" s="159" t="str">
        <f>+IF(VLOOKUP(A20,'Estado SCI'!$A$16:$G$59,7,0)="","",VLOOKUP(A20,'Estado SCI'!$A$16:$G$59,7,0))</f>
        <v>Si</v>
      </c>
      <c r="J20" s="160">
        <f t="shared" si="2"/>
        <v>1</v>
      </c>
      <c r="K20" s="161">
        <f t="shared" si="1"/>
        <v>0.7</v>
      </c>
    </row>
    <row r="21" spans="1:11" ht="15.75" customHeight="1" x14ac:dyDescent="0.25">
      <c r="A21" s="159" t="s">
        <v>165</v>
      </c>
      <c r="B21" s="159" t="s">
        <v>61</v>
      </c>
      <c r="C21" s="159" t="s">
        <v>80</v>
      </c>
      <c r="D21" s="159" t="s">
        <v>34</v>
      </c>
      <c r="E21" s="159" t="s">
        <v>74</v>
      </c>
      <c r="F21" s="159" t="str">
        <f>+VLOOKUP(A21,'Estado SCI'!$A$16:$I$59,9,0)</f>
        <v>Mantenimiento del control</v>
      </c>
      <c r="G21" s="159">
        <f>+VLOOKUP(A21,'Estado SCI'!$A$16:$L$59,12,0)</f>
        <v>40.234567891200001</v>
      </c>
      <c r="H21" s="159">
        <f t="shared" si="0"/>
        <v>21</v>
      </c>
      <c r="I21" s="159" t="str">
        <f>+IF(VLOOKUP(A21,'Estado SCI'!$A$16:$G$59,7,0)="","",VLOOKUP(A21,'Estado SCI'!$A$16:$G$59,7,0))</f>
        <v>Si</v>
      </c>
      <c r="J21" s="160">
        <f t="shared" si="2"/>
        <v>1</v>
      </c>
      <c r="K21" s="161">
        <f t="shared" si="1"/>
        <v>0.7</v>
      </c>
    </row>
    <row r="22" spans="1:11" ht="15" customHeight="1" x14ac:dyDescent="0.25">
      <c r="A22" s="159" t="s">
        <v>166</v>
      </c>
      <c r="B22" s="159" t="s">
        <v>61</v>
      </c>
      <c r="C22" s="159" t="s">
        <v>88</v>
      </c>
      <c r="D22" s="159" t="s">
        <v>37</v>
      </c>
      <c r="E22" s="159" t="s">
        <v>75</v>
      </c>
      <c r="F22" s="159" t="str">
        <f>+VLOOKUP(A22,'Estado SCI'!$A$16:$I$59,9,0)</f>
        <v>Oportunidad de mejora</v>
      </c>
      <c r="G22" s="159">
        <f>+VLOOKUP(A22,'Estado SCI'!$A$16:$L$59,12,0)</f>
        <v>30.23456789123</v>
      </c>
      <c r="H22" s="159">
        <f t="shared" si="0"/>
        <v>17</v>
      </c>
      <c r="I22" s="159" t="str">
        <f>+IF(VLOOKUP(A22,'Estado SCI'!$A$16:$G$59,7,0)="","",VLOOKUP(A22,'Estado SCI'!$A$16:$G$59,7,0))</f>
        <v>En proceso</v>
      </c>
      <c r="J22" s="160">
        <f t="shared" si="2"/>
        <v>0.5</v>
      </c>
      <c r="K22" s="161">
        <f t="shared" si="1"/>
        <v>0.7</v>
      </c>
    </row>
    <row r="23" spans="1:11" ht="15" customHeight="1" x14ac:dyDescent="0.25">
      <c r="A23" s="159" t="s">
        <v>167</v>
      </c>
      <c r="B23" s="159" t="s">
        <v>61</v>
      </c>
      <c r="C23" s="159" t="s">
        <v>88</v>
      </c>
      <c r="D23" s="159" t="s">
        <v>40</v>
      </c>
      <c r="E23" s="159" t="s">
        <v>77</v>
      </c>
      <c r="F23" s="159" t="str">
        <f>+VLOOKUP(A23,'Estado SCI'!$A$16:$I$59,9,0)</f>
        <v>Mantenimiento del control</v>
      </c>
      <c r="G23" s="159">
        <f>+VLOOKUP(A23,'Estado SCI'!$A$16:$L$59,12,0)</f>
        <v>40.234567891234001</v>
      </c>
      <c r="H23" s="159">
        <f t="shared" si="0"/>
        <v>22</v>
      </c>
      <c r="I23" s="159" t="str">
        <f>+IF(VLOOKUP(A23,'Estado SCI'!$A$16:$G$59,7,0)="","",VLOOKUP(A23,'Estado SCI'!$A$16:$G$59,7,0))</f>
        <v>Si</v>
      </c>
      <c r="J23" s="160">
        <f t="shared" si="2"/>
        <v>1</v>
      </c>
      <c r="K23" s="161">
        <f t="shared" si="1"/>
        <v>0.7</v>
      </c>
    </row>
    <row r="24" spans="1:11" ht="15" customHeight="1" x14ac:dyDescent="0.25">
      <c r="A24" s="159" t="s">
        <v>168</v>
      </c>
      <c r="B24" s="159" t="str">
        <f>+VLOOKUP(A24,'Estado SCI'!$A$16:$C$59,3,0)</f>
        <v>ACTIVIDADES DE CONTROL</v>
      </c>
      <c r="C24" s="159" t="s">
        <v>88</v>
      </c>
      <c r="D24" s="159" t="s">
        <v>34</v>
      </c>
      <c r="E24" s="159" t="s">
        <v>81</v>
      </c>
      <c r="F24" s="159" t="str">
        <f>+VLOOKUP(A24,'Estado SCI'!$A$16:$I$59,9,0)</f>
        <v>Mantenimiento del control</v>
      </c>
      <c r="G24" s="159">
        <f>+VLOOKUP(A24,'Estado SCI'!$A$16:$L$59,12,0)</f>
        <v>60.31</v>
      </c>
      <c r="H24" s="159">
        <f t="shared" si="0"/>
        <v>26</v>
      </c>
      <c r="I24" s="159" t="str">
        <f>+IF(VLOOKUP(A24,'Estado SCI'!$A$16:$G$59,7,0)="","",VLOOKUP(A24,'Estado SCI'!$A$16:$G$59,7,0))</f>
        <v>Si</v>
      </c>
      <c r="J24" s="160">
        <f t="shared" si="2"/>
        <v>1</v>
      </c>
      <c r="K24" s="161">
        <f t="shared" si="1"/>
        <v>0.7</v>
      </c>
    </row>
    <row r="25" spans="1:11" ht="15" customHeight="1" x14ac:dyDescent="0.25">
      <c r="A25" s="159" t="s">
        <v>169</v>
      </c>
      <c r="B25" s="159" t="s">
        <v>79</v>
      </c>
      <c r="C25" s="159" t="s">
        <v>88</v>
      </c>
      <c r="D25" s="159" t="s">
        <v>37</v>
      </c>
      <c r="E25" s="159" t="s">
        <v>82</v>
      </c>
      <c r="F25" s="159" t="str">
        <f>+VLOOKUP(A25,'Estado SCI'!$A$16:$I$59,9,0)</f>
        <v>Oportunidad de mejora</v>
      </c>
      <c r="G25" s="159">
        <f>+VLOOKUP(A25,'Estado SCI'!$A$16:$L$59,12,0)</f>
        <v>50.323</v>
      </c>
      <c r="H25" s="159">
        <f t="shared" si="0"/>
        <v>23</v>
      </c>
      <c r="I25" s="159" t="str">
        <f>+IF(VLOOKUP(A25,'Estado SCI'!$A$16:$G$59,7,0)="","",VLOOKUP(A25,'Estado SCI'!$A$16:$G$59,7,0))</f>
        <v>En proceso</v>
      </c>
      <c r="J25" s="160">
        <f t="shared" si="2"/>
        <v>0.5</v>
      </c>
      <c r="K25" s="161">
        <f t="shared" si="1"/>
        <v>0.7</v>
      </c>
    </row>
    <row r="26" spans="1:11" ht="15" customHeight="1" x14ac:dyDescent="0.25">
      <c r="A26" s="159" t="s">
        <v>170</v>
      </c>
      <c r="B26" s="159" t="s">
        <v>79</v>
      </c>
      <c r="C26" s="159" t="s">
        <v>88</v>
      </c>
      <c r="D26" s="159" t="s">
        <v>40</v>
      </c>
      <c r="E26" s="159" t="s">
        <v>83</v>
      </c>
      <c r="F26" s="159" t="str">
        <f>+VLOOKUP(A26,'Estado SCI'!$A$16:$I$59,9,0)</f>
        <v>Oportunidad de mejora</v>
      </c>
      <c r="G26" s="159">
        <f>+VLOOKUP(A26,'Estado SCI'!$A$16:$L$59,12,0)</f>
        <v>50.323999999999998</v>
      </c>
      <c r="H26" s="159">
        <f t="shared" si="0"/>
        <v>24</v>
      </c>
      <c r="I26" s="159" t="str">
        <f>+IF(VLOOKUP(A26,'Estado SCI'!$A$16:$G$59,7,0)="","",VLOOKUP(A26,'Estado SCI'!$A$16:$G$59,7,0))</f>
        <v>En proceso</v>
      </c>
      <c r="J26" s="160">
        <f t="shared" si="2"/>
        <v>0.5</v>
      </c>
      <c r="K26" s="161">
        <f t="shared" si="1"/>
        <v>0.7</v>
      </c>
    </row>
    <row r="27" spans="1:11" ht="15.75" customHeight="1" x14ac:dyDescent="0.25">
      <c r="A27" s="159" t="s">
        <v>171</v>
      </c>
      <c r="B27" s="159" t="s">
        <v>79</v>
      </c>
      <c r="C27" s="159" t="s">
        <v>88</v>
      </c>
      <c r="D27" s="159" t="s">
        <v>42</v>
      </c>
      <c r="E27" s="159" t="s">
        <v>84</v>
      </c>
      <c r="F27" s="159" t="str">
        <f>+VLOOKUP(A27,'Estado SCI'!$A$16:$I$59,9,0)</f>
        <v>Oportunidad de mejora</v>
      </c>
      <c r="G27" s="159">
        <f>+VLOOKUP(A27,'Estado SCI'!$A$16:$L$59,12,0)</f>
        <v>50.325000000000003</v>
      </c>
      <c r="H27" s="159">
        <f t="shared" si="0"/>
        <v>25</v>
      </c>
      <c r="I27" s="159" t="str">
        <f>+IF(VLOOKUP(A27,'Estado SCI'!$A$16:$G$59,7,0)="","",VLOOKUP(A27,'Estado SCI'!$A$16:$G$59,7,0))</f>
        <v>En proceso</v>
      </c>
      <c r="J27" s="160">
        <f t="shared" si="2"/>
        <v>0.5</v>
      </c>
      <c r="K27" s="161">
        <f t="shared" si="1"/>
        <v>0.7</v>
      </c>
    </row>
    <row r="28" spans="1:11" ht="15" customHeight="1" x14ac:dyDescent="0.25">
      <c r="A28" s="159" t="s">
        <v>172</v>
      </c>
      <c r="B28" s="159" t="s">
        <v>79</v>
      </c>
      <c r="C28" s="159" t="s">
        <v>98</v>
      </c>
      <c r="D28" s="159" t="s">
        <v>44</v>
      </c>
      <c r="E28" s="159" t="s">
        <v>85</v>
      </c>
      <c r="F28" s="159" t="str">
        <f>+VLOOKUP(A28,'Estado SCI'!$A$16:$I$59,9,0)</f>
        <v>Mantenimiento del control</v>
      </c>
      <c r="G28" s="159">
        <f>+VLOOKUP(A28,'Estado SCI'!$A$16:$L$59,12,0)</f>
        <v>60.326000000000001</v>
      </c>
      <c r="H28" s="159">
        <f t="shared" si="0"/>
        <v>27</v>
      </c>
      <c r="I28" s="159" t="str">
        <f>+IF(VLOOKUP(A28,'Estado SCI'!$A$16:$G$59,7,0)="","",VLOOKUP(A28,'Estado SCI'!$A$16:$G$59,7,0))</f>
        <v>Si</v>
      </c>
      <c r="J28" s="160">
        <f t="shared" si="2"/>
        <v>1</v>
      </c>
      <c r="K28" s="161">
        <f t="shared" si="1"/>
        <v>0.7</v>
      </c>
    </row>
    <row r="29" spans="1:11" ht="15" customHeight="1" x14ac:dyDescent="0.25">
      <c r="A29" s="159" t="s">
        <v>173</v>
      </c>
      <c r="B29" s="159" t="str">
        <f>+VLOOKUP(A29,'Estado SCI'!$A$16:$C$59,3,0)</f>
        <v>INFORMACION Y COMUNICACIÓN</v>
      </c>
      <c r="C29" s="159" t="s">
        <v>98</v>
      </c>
      <c r="D29" s="159" t="s">
        <v>34</v>
      </c>
      <c r="E29" s="159" t="s">
        <v>89</v>
      </c>
      <c r="F29" s="159" t="str">
        <f>+VLOOKUP(A29,'Estado SCI'!$A$16:$I$59,9,0)</f>
        <v>Mantenimiento del control</v>
      </c>
      <c r="G29" s="159">
        <f>+VLOOKUP(A29,'Estado SCI'!$A$16:$L$59,12,0)</f>
        <v>80.412000000000006</v>
      </c>
      <c r="H29" s="159">
        <f t="shared" si="0"/>
        <v>30</v>
      </c>
      <c r="I29" s="159" t="str">
        <f>+IF(VLOOKUP(A29,'Estado SCI'!$A$16:$G$59,7,0)="","",VLOOKUP(A29,'Estado SCI'!$A$16:$G$59,7,0))</f>
        <v>Si</v>
      </c>
      <c r="J29" s="160">
        <f t="shared" si="2"/>
        <v>1</v>
      </c>
      <c r="K29" s="161">
        <f t="shared" si="1"/>
        <v>0.7857142857142857</v>
      </c>
    </row>
    <row r="30" spans="1:11" ht="15" customHeight="1" x14ac:dyDescent="0.25">
      <c r="A30" s="159" t="s">
        <v>174</v>
      </c>
      <c r="B30" s="159" t="s">
        <v>87</v>
      </c>
      <c r="C30" s="159" t="s">
        <v>98</v>
      </c>
      <c r="D30" s="159" t="s">
        <v>37</v>
      </c>
      <c r="E30" s="159" t="s">
        <v>90</v>
      </c>
      <c r="F30" s="159" t="str">
        <f>+VLOOKUP(A30,'Estado SCI'!$A$16:$I$59,9,0)</f>
        <v>Mantenimiento del control</v>
      </c>
      <c r="G30" s="159">
        <f>+VLOOKUP(A30,'Estado SCI'!$A$16:$L$59,12,0)</f>
        <v>80.412300000000002</v>
      </c>
      <c r="H30" s="159">
        <f t="shared" si="0"/>
        <v>31</v>
      </c>
      <c r="I30" s="159" t="str">
        <f>+IF(VLOOKUP(A30,'Estado SCI'!$A$16:$G$59,7,0)="","",VLOOKUP(A30,'Estado SCI'!$A$16:$G$59,7,0))</f>
        <v>Si</v>
      </c>
      <c r="J30" s="160">
        <f t="shared" si="2"/>
        <v>1</v>
      </c>
      <c r="K30" s="161">
        <f t="shared" si="1"/>
        <v>0.7857142857142857</v>
      </c>
    </row>
    <row r="31" spans="1:11" ht="15.75" customHeight="1" x14ac:dyDescent="0.25">
      <c r="A31" s="159" t="s">
        <v>175</v>
      </c>
      <c r="B31" s="159" t="s">
        <v>87</v>
      </c>
      <c r="C31" s="159" t="s">
        <v>98</v>
      </c>
      <c r="D31" s="159" t="s">
        <v>40</v>
      </c>
      <c r="E31" s="159" t="s">
        <v>91</v>
      </c>
      <c r="F31" s="159" t="str">
        <f>+VLOOKUP(A31,'Estado SCI'!$A$16:$I$59,9,0)</f>
        <v>Mantenimiento del control</v>
      </c>
      <c r="G31" s="159">
        <f>+VLOOKUP(A31,'Estado SCI'!$A$16:$L$59,12,0)</f>
        <v>80.41234</v>
      </c>
      <c r="H31" s="159">
        <f t="shared" si="0"/>
        <v>32</v>
      </c>
      <c r="I31" s="159" t="str">
        <f>+IF(VLOOKUP(A31,'Estado SCI'!$A$16:$G$59,7,0)="","",VLOOKUP(A31,'Estado SCI'!$A$16:$G$59,7,0))</f>
        <v>Si</v>
      </c>
      <c r="J31" s="160">
        <f t="shared" si="2"/>
        <v>1</v>
      </c>
      <c r="K31" s="161">
        <f t="shared" si="1"/>
        <v>0.7857142857142857</v>
      </c>
    </row>
    <row r="32" spans="1:11" x14ac:dyDescent="0.25">
      <c r="A32" s="159" t="s">
        <v>176</v>
      </c>
      <c r="B32" s="159" t="s">
        <v>87</v>
      </c>
      <c r="C32" s="159" t="s">
        <v>104</v>
      </c>
      <c r="D32" s="159" t="s">
        <v>42</v>
      </c>
      <c r="E32" s="159" t="s">
        <v>92</v>
      </c>
      <c r="F32" s="159" t="str">
        <f>+VLOOKUP(A32,'Estado SCI'!$A$16:$I$59,9,0)</f>
        <v>Oportunidad de mejora</v>
      </c>
      <c r="G32" s="159">
        <f>+VLOOKUP(A32,'Estado SCI'!$A$16:$L$59,12,0)</f>
        <v>70.412345000000002</v>
      </c>
      <c r="H32" s="159">
        <f t="shared" si="0"/>
        <v>29</v>
      </c>
      <c r="I32" s="159" t="str">
        <f>+IF(VLOOKUP(A32,'Estado SCI'!$A$16:$G$59,7,0)="","",VLOOKUP(A32,'Estado SCI'!$A$16:$G$59,7,0))</f>
        <v>En proceso</v>
      </c>
      <c r="J32" s="160">
        <f t="shared" si="2"/>
        <v>0.5</v>
      </c>
      <c r="K32" s="161">
        <f t="shared" si="1"/>
        <v>0.7857142857142857</v>
      </c>
    </row>
    <row r="33" spans="1:11" x14ac:dyDescent="0.25">
      <c r="A33" s="159" t="s">
        <v>177</v>
      </c>
      <c r="B33" s="159" t="s">
        <v>87</v>
      </c>
      <c r="C33" s="159" t="s">
        <v>178</v>
      </c>
      <c r="D33" s="159" t="s">
        <v>44</v>
      </c>
      <c r="E33" s="159" t="s">
        <v>93</v>
      </c>
      <c r="F33" s="159" t="str">
        <f>+VLOOKUP(A33,'Estado SCI'!$A$16:$I$59,9,0)</f>
        <v>Mantenimiento del control</v>
      </c>
      <c r="G33" s="159">
        <f>+VLOOKUP(A33,'Estado SCI'!$A$16:$L$59,12,0)</f>
        <v>80.412345599999995</v>
      </c>
      <c r="H33" s="159">
        <f t="shared" si="0"/>
        <v>33</v>
      </c>
      <c r="I33" s="159" t="str">
        <f>+IF(VLOOKUP(A33,'Estado SCI'!$A$16:$G$59,7,0)="","",VLOOKUP(A33,'Estado SCI'!$A$16:$G$59,7,0))</f>
        <v>Si</v>
      </c>
      <c r="J33" s="160">
        <f t="shared" si="2"/>
        <v>1</v>
      </c>
      <c r="K33" s="161">
        <f t="shared" si="1"/>
        <v>0.7857142857142857</v>
      </c>
    </row>
    <row r="34" spans="1:11" x14ac:dyDescent="0.25">
      <c r="A34" s="159" t="s">
        <v>179</v>
      </c>
      <c r="B34" s="159" t="s">
        <v>87</v>
      </c>
      <c r="C34" s="159" t="s">
        <v>178</v>
      </c>
      <c r="D34" s="159" t="s">
        <v>46</v>
      </c>
      <c r="E34" s="159" t="s">
        <v>94</v>
      </c>
      <c r="F34" s="159" t="str">
        <f>+VLOOKUP(A34,'Estado SCI'!$A$16:$I$59,9,0)</f>
        <v>Mantenimiento del control</v>
      </c>
      <c r="G34" s="159">
        <f>+VLOOKUP(A34,'Estado SCI'!$A$16:$L$59,12,0)</f>
        <v>80.412345669999993</v>
      </c>
      <c r="H34" s="159">
        <f t="shared" si="0"/>
        <v>34</v>
      </c>
      <c r="I34" s="159" t="str">
        <f>+IF(VLOOKUP(A34,'Estado SCI'!$A$16:$G$59,7,0)="","",VLOOKUP(A34,'Estado SCI'!$A$16:$G$59,7,0))</f>
        <v>Si</v>
      </c>
      <c r="J34" s="160">
        <f t="shared" si="2"/>
        <v>1</v>
      </c>
      <c r="K34" s="161">
        <f t="shared" si="1"/>
        <v>0.7857142857142857</v>
      </c>
    </row>
    <row r="35" spans="1:11" x14ac:dyDescent="0.25">
      <c r="A35" s="159" t="s">
        <v>180</v>
      </c>
      <c r="B35" s="159" t="s">
        <v>87</v>
      </c>
      <c r="C35" s="159" t="s">
        <v>178</v>
      </c>
      <c r="D35" s="159" t="s">
        <v>48</v>
      </c>
      <c r="E35" s="159" t="s">
        <v>95</v>
      </c>
      <c r="F35" s="159" t="str">
        <f>+VLOOKUP(A35,'Estado SCI'!$A$16:$I$59,9,0)</f>
        <v>Deficiencia de control</v>
      </c>
      <c r="G35" s="159">
        <f>+VLOOKUP(A35,'Estado SCI'!$A$16:$L$59,12,0)</f>
        <v>60.412345678000001</v>
      </c>
      <c r="H35" s="159">
        <f t="shared" si="0"/>
        <v>28</v>
      </c>
      <c r="I35" s="159" t="str">
        <f>+IF(VLOOKUP(A35,'Estado SCI'!$A$16:$G$59,7,0)="","",VLOOKUP(A35,'Estado SCI'!$A$16:$G$59,7,0))</f>
        <v>No</v>
      </c>
      <c r="J35" s="160">
        <f t="shared" si="2"/>
        <v>0</v>
      </c>
      <c r="K35" s="161">
        <f t="shared" si="1"/>
        <v>0.7857142857142857</v>
      </c>
    </row>
    <row r="36" spans="1:11" x14ac:dyDescent="0.25">
      <c r="A36" s="159" t="s">
        <v>181</v>
      </c>
      <c r="B36" s="159" t="str">
        <f>+VLOOKUP(A36,'Estado SCI'!$A$16:$C$59,3,0)</f>
        <v>ACTIVIDADES DE MONITOREO</v>
      </c>
      <c r="C36" s="159" t="s">
        <v>178</v>
      </c>
      <c r="D36" s="159" t="s">
        <v>34</v>
      </c>
      <c r="E36" s="159" t="s">
        <v>99</v>
      </c>
      <c r="F36" s="159" t="str">
        <f>+VLOOKUP(A36,'Estado SCI'!$A$16:$I$59,9,0)</f>
        <v>Mantenimiento del control</v>
      </c>
      <c r="G36" s="159">
        <f>+VLOOKUP(A36,'Estado SCI'!$A$16:$L$59,12,0)</f>
        <v>120.851</v>
      </c>
      <c r="H36" s="159">
        <f t="shared" si="0"/>
        <v>38</v>
      </c>
      <c r="I36" s="159" t="str">
        <f>+IF(VLOOKUP(A36,'Estado SCI'!$A$16:$G$59,7,0)="","",VLOOKUP(A36,'Estado SCI'!$A$16:$G$59,7,0))</f>
        <v>Si</v>
      </c>
      <c r="J36" s="160">
        <f t="shared" si="2"/>
        <v>1</v>
      </c>
      <c r="K36" s="161">
        <f t="shared" si="1"/>
        <v>0.8</v>
      </c>
    </row>
    <row r="37" spans="1:11" x14ac:dyDescent="0.25">
      <c r="A37" s="159" t="s">
        <v>182</v>
      </c>
      <c r="B37" s="159" t="s">
        <v>97</v>
      </c>
      <c r="C37" s="159" t="s">
        <v>178</v>
      </c>
      <c r="D37" s="159" t="s">
        <v>42</v>
      </c>
      <c r="E37" s="159" t="s">
        <v>100</v>
      </c>
      <c r="F37" s="159" t="str">
        <f>+VLOOKUP(A37,'Estado SCI'!$A$16:$I$59,9,0)</f>
        <v>Mantenimiento del control</v>
      </c>
      <c r="G37" s="159">
        <f>+VLOOKUP(A37,'Estado SCI'!$A$16:$L$59,12,0)</f>
        <v>120.85120000000001</v>
      </c>
      <c r="H37" s="159">
        <f t="shared" si="0"/>
        <v>39</v>
      </c>
      <c r="I37" s="159" t="str">
        <f>+IF(VLOOKUP(A37,'Estado SCI'!$A$16:$G$59,7,0)="","",VLOOKUP(A37,'Estado SCI'!$A$16:$G$59,7,0))</f>
        <v>Si</v>
      </c>
      <c r="J37" s="160">
        <f t="shared" si="2"/>
        <v>1</v>
      </c>
      <c r="K37" s="161">
        <f t="shared" si="1"/>
        <v>0.8</v>
      </c>
    </row>
    <row r="38" spans="1:11" x14ac:dyDescent="0.25">
      <c r="A38" s="159" t="s">
        <v>183</v>
      </c>
      <c r="B38" s="159" t="s">
        <v>97</v>
      </c>
      <c r="C38" s="159" t="s">
        <v>68</v>
      </c>
      <c r="D38" s="159" t="s">
        <v>46</v>
      </c>
      <c r="E38" s="159" t="s">
        <v>101</v>
      </c>
      <c r="F38" s="159" t="str">
        <f>+VLOOKUP(A38,'Estado SCI'!$A$16:$I$59,9,0)</f>
        <v>Mantenimiento del control</v>
      </c>
      <c r="G38" s="159">
        <f>+VLOOKUP(A38,'Estado SCI'!$A$16:$L$59,12,0)</f>
        <v>120.85123</v>
      </c>
      <c r="H38" s="159">
        <f t="shared" si="0"/>
        <v>40</v>
      </c>
      <c r="I38" s="159" t="str">
        <f>+IF(VLOOKUP(A38,'Estado SCI'!$A$16:$G$59,7,0)="","",VLOOKUP(A38,'Estado SCI'!$A$16:$G$59,7,0))</f>
        <v>Si</v>
      </c>
      <c r="J38" s="160">
        <f t="shared" si="2"/>
        <v>1</v>
      </c>
      <c r="K38" s="161">
        <f t="shared" si="1"/>
        <v>0.8</v>
      </c>
    </row>
    <row r="39" spans="1:11" x14ac:dyDescent="0.25">
      <c r="A39" s="159" t="s">
        <v>184</v>
      </c>
      <c r="B39" s="159" t="s">
        <v>97</v>
      </c>
      <c r="C39" s="159" t="s">
        <v>68</v>
      </c>
      <c r="D39" s="159" t="s">
        <v>48</v>
      </c>
      <c r="E39" s="159" t="s">
        <v>102</v>
      </c>
      <c r="F39" s="159" t="str">
        <f>+VLOOKUP(A39,'Estado SCI'!$A$16:$I$59,9,0)</f>
        <v>Mantenimiento del control</v>
      </c>
      <c r="G39" s="159">
        <f>+VLOOKUP(A39,'Estado SCI'!$A$16:$L$59,12,0)</f>
        <v>120.85123400000001</v>
      </c>
      <c r="H39" s="159">
        <f t="shared" si="0"/>
        <v>41</v>
      </c>
      <c r="I39" s="159" t="str">
        <f>+IF(VLOOKUP(A39,'Estado SCI'!$A$16:$G$59,7,0)="","",VLOOKUP(A39,'Estado SCI'!$A$16:$G$59,7,0))</f>
        <v>Si</v>
      </c>
      <c r="J39" s="160">
        <f t="shared" si="2"/>
        <v>1</v>
      </c>
      <c r="K39" s="161">
        <f t="shared" si="1"/>
        <v>0.8</v>
      </c>
    </row>
    <row r="40" spans="1:11" x14ac:dyDescent="0.25">
      <c r="A40" s="159" t="s">
        <v>185</v>
      </c>
      <c r="B40" s="159" t="s">
        <v>97</v>
      </c>
      <c r="C40" s="159" t="s">
        <v>68</v>
      </c>
      <c r="D40" s="159" t="s">
        <v>50</v>
      </c>
      <c r="E40" s="159" t="s">
        <v>105</v>
      </c>
      <c r="F40" s="159" t="str">
        <f>+VLOOKUP(A40,'Estado SCI'!$A$16:$I$59,9,0)</f>
        <v>Deficiencia de control</v>
      </c>
      <c r="G40" s="159">
        <f>+VLOOKUP(A40,'Estado SCI'!$A$16:$L$59,12,0)</f>
        <v>80.851234500000004</v>
      </c>
      <c r="H40" s="159">
        <f t="shared" si="0"/>
        <v>35</v>
      </c>
      <c r="I40" s="159" t="str">
        <f>+IF(VLOOKUP(A40,'Estado SCI'!$A$16:$G$59,7,0)="","",VLOOKUP(A40,'Estado SCI'!$A$16:$G$59,7,0))</f>
        <v>No</v>
      </c>
      <c r="J40" s="160">
        <f t="shared" si="2"/>
        <v>0</v>
      </c>
      <c r="K40" s="161">
        <f t="shared" si="1"/>
        <v>0.8</v>
      </c>
    </row>
    <row r="41" spans="1:11" x14ac:dyDescent="0.25">
      <c r="A41" s="159" t="s">
        <v>186</v>
      </c>
      <c r="B41" s="159" t="s">
        <v>97</v>
      </c>
      <c r="C41" s="159" t="s">
        <v>68</v>
      </c>
      <c r="D41" s="159" t="s">
        <v>34</v>
      </c>
      <c r="E41" s="159" t="s">
        <v>108</v>
      </c>
      <c r="F41" s="159" t="str">
        <f>+VLOOKUP(A41,'Estado SCI'!$A$16:$I$59,9,0)</f>
        <v>Mantenimiento del control</v>
      </c>
      <c r="G41" s="159">
        <f>+VLOOKUP(A41,'Estado SCI'!$A$16:$L$59,12,0)</f>
        <v>120.85123455999999</v>
      </c>
      <c r="H41" s="159">
        <f t="shared" si="0"/>
        <v>42</v>
      </c>
      <c r="I41" s="159" t="str">
        <f>+IF(VLOOKUP(A41,'Estado SCI'!$A$16:$G$59,7,0)="","",VLOOKUP(A41,'Estado SCI'!$A$16:$G$59,7,0))</f>
        <v>Si</v>
      </c>
      <c r="J41" s="160">
        <f t="shared" si="2"/>
        <v>1</v>
      </c>
      <c r="K41" s="161">
        <f t="shared" si="1"/>
        <v>0.8</v>
      </c>
    </row>
    <row r="42" spans="1:11" x14ac:dyDescent="0.25">
      <c r="A42" s="159" t="s">
        <v>187</v>
      </c>
      <c r="B42" s="159" t="s">
        <v>97</v>
      </c>
      <c r="C42" s="159" t="s">
        <v>73</v>
      </c>
      <c r="D42" s="159" t="s">
        <v>37</v>
      </c>
      <c r="E42" s="159" t="s">
        <v>109</v>
      </c>
      <c r="F42" s="159" t="str">
        <f>+VLOOKUP(A42,'Estado SCI'!$A$16:$I$59,9,0)</f>
        <v>Mantenimiento del control</v>
      </c>
      <c r="G42" s="159">
        <f>+VLOOKUP(A42,'Estado SCI'!$A$16:$L$59,12,0)</f>
        <v>120.85123456700001</v>
      </c>
      <c r="H42" s="159">
        <f t="shared" si="0"/>
        <v>43</v>
      </c>
      <c r="I42" s="159" t="str">
        <f>+IF(VLOOKUP(A42,'Estado SCI'!$A$16:$G$59,7,0)="","",VLOOKUP(A42,'Estado SCI'!$A$16:$G$59,7,0))</f>
        <v>Si</v>
      </c>
      <c r="J42" s="160">
        <f t="shared" si="2"/>
        <v>1</v>
      </c>
      <c r="K42" s="161">
        <f t="shared" si="1"/>
        <v>0.8</v>
      </c>
    </row>
    <row r="43" spans="1:11" x14ac:dyDescent="0.25">
      <c r="A43" s="159" t="s">
        <v>188</v>
      </c>
      <c r="B43" s="159" t="s">
        <v>97</v>
      </c>
      <c r="C43" s="159" t="s">
        <v>73</v>
      </c>
      <c r="D43" s="159" t="s">
        <v>40</v>
      </c>
      <c r="E43" s="159" t="s">
        <v>110</v>
      </c>
      <c r="F43" s="159" t="str">
        <f>+VLOOKUP(A43,'Estado SCI'!$A$16:$I$59,9,0)</f>
        <v>Oportunidad de mejora</v>
      </c>
      <c r="G43" s="159">
        <f>+VLOOKUP(A43,'Estado SCI'!$A$16:$L$59,12,0)</f>
        <v>100.85123456780001</v>
      </c>
      <c r="H43" s="159">
        <f t="shared" si="0"/>
        <v>36</v>
      </c>
      <c r="I43" s="159" t="str">
        <f>+IF(VLOOKUP(A43,'Estado SCI'!$A$16:$G$59,7,0)="","",VLOOKUP(A43,'Estado SCI'!$A$16:$G$59,7,0))</f>
        <v>En proceso</v>
      </c>
      <c r="J43" s="160">
        <f t="shared" si="2"/>
        <v>0.5</v>
      </c>
      <c r="K43" s="161">
        <f t="shared" si="1"/>
        <v>0.8</v>
      </c>
    </row>
    <row r="44" spans="1:11" x14ac:dyDescent="0.25">
      <c r="A44" s="159" t="s">
        <v>189</v>
      </c>
      <c r="B44" s="159" t="s">
        <v>97</v>
      </c>
      <c r="C44" s="159" t="s">
        <v>73</v>
      </c>
      <c r="D44" s="159" t="s">
        <v>42</v>
      </c>
      <c r="E44" s="159" t="s">
        <v>111</v>
      </c>
      <c r="F44" s="159" t="str">
        <f>+VLOOKUP(A44,'Estado SCI'!$A$16:$I$59,9,0)</f>
        <v>Oportunidad de mejora</v>
      </c>
      <c r="G44" s="159">
        <f>+VLOOKUP(A44,'Estado SCI'!$A$16:$L$59,12,0)</f>
        <v>100.85123456789</v>
      </c>
      <c r="H44" s="159">
        <f t="shared" si="0"/>
        <v>37</v>
      </c>
      <c r="I44" s="159" t="str">
        <f>+IF(VLOOKUP(A44,'Estado SCI'!$A$16:$G$59,7,0)="","",VLOOKUP(A44,'Estado SCI'!$A$16:$G$59,7,0))</f>
        <v>En proceso</v>
      </c>
      <c r="J44" s="160">
        <f t="shared" si="2"/>
        <v>0.5</v>
      </c>
      <c r="K44" s="161">
        <f t="shared" si="1"/>
        <v>0.8</v>
      </c>
    </row>
    <row r="45" spans="1:11" x14ac:dyDescent="0.25">
      <c r="A45" s="159" t="s">
        <v>190</v>
      </c>
      <c r="B45" s="159" t="s">
        <v>97</v>
      </c>
      <c r="C45" s="159" t="s">
        <v>73</v>
      </c>
      <c r="D45" s="159" t="s">
        <v>44</v>
      </c>
      <c r="E45" s="159" t="s">
        <v>112</v>
      </c>
      <c r="F45" s="159" t="str">
        <f>+VLOOKUP(A45,'Estado SCI'!$A$16:$I$59,9,0)</f>
        <v>Mantenimiento del control</v>
      </c>
      <c r="G45" s="159">
        <f>+VLOOKUP(A45,'Estado SCI'!$A$16:$L$59,12,0)</f>
        <v>120.851234567891</v>
      </c>
      <c r="H45" s="159">
        <f t="shared" si="0"/>
        <v>44</v>
      </c>
      <c r="I45" s="159" t="str">
        <f>+IF(VLOOKUP(A45,'Estado SCI'!$A$16:$G$59,7,0)="","",VLOOKUP(A45,'Estado SCI'!$A$16:$G$59,7,0))</f>
        <v>Si</v>
      </c>
      <c r="J45" s="160">
        <f t="shared" si="2"/>
        <v>1</v>
      </c>
      <c r="K45" s="161">
        <f t="shared" si="1"/>
        <v>0.8</v>
      </c>
    </row>
  </sheetData>
  <sheetProtection algorithmName="SHA-512" hashValue="eXgkKlTi9xJKAI7t6Aeb2RaFpkfyF43pI2BIhtxDc7hsl0SqLK8I4Wc7jbZwC5kw3uyIHOBIUXRnh5cC70LKYA==" saltValue="AxKzX6Ar80vT7acQV8rFpQ==" spinCount="100000" sheet="1" objects="1" scenarios="1" selectLockedCells="1"/>
  <autoFilter ref="A1:K4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Instructivo</vt:lpstr>
      <vt:lpstr>Estado SCI</vt:lpstr>
      <vt:lpstr>Análisis Resultados</vt:lpstr>
      <vt:lpstr>Conclusión</vt:lpstr>
      <vt:lpstr>Hoja1</vt:lpstr>
      <vt:lpstr>Conclusión!Área_de_impresión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 Juntas Piso 6</dc:creator>
  <cp:keywords/>
  <dc:description/>
  <cp:lastModifiedBy>Nelson</cp:lastModifiedBy>
  <cp:revision/>
  <cp:lastPrinted>2023-02-27T15:42:24Z</cp:lastPrinted>
  <dcterms:created xsi:type="dcterms:W3CDTF">2020-04-28T13:58:09Z</dcterms:created>
  <dcterms:modified xsi:type="dcterms:W3CDTF">2025-02-06T13:52:05Z</dcterms:modified>
  <cp:category/>
  <cp:contentStatus/>
</cp:coreProperties>
</file>